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drawings/drawing6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qdocs\"/>
    </mc:Choice>
  </mc:AlternateContent>
  <xr:revisionPtr revIDLastSave="0" documentId="13_ncr:1_{09BD2932-A6BB-4253-977F-F6A9D2643787}" xr6:coauthVersionLast="47" xr6:coauthVersionMax="47" xr10:uidLastSave="{00000000-0000-0000-0000-000000000000}"/>
  <bookViews>
    <workbookView xWindow="-108" yWindow="-108" windowWidth="46296" windowHeight="25416" activeTab="2" xr2:uid="{49AA18C4-714C-4A98-AA52-7636D7B95940}"/>
  </bookViews>
  <sheets>
    <sheet name="1 MIX DESIGN FORM" sheetId="1" r:id="rId1"/>
    <sheet name="control points" sheetId="13" state="hidden" r:id="rId2"/>
    <sheet name="2 MARSHALL + OPT OIL" sheetId="8" r:id="rId3"/>
    <sheet name="Graphs" sheetId="14" r:id="rId4"/>
    <sheet name="REF - Traffic Category" sheetId="9" state="hidden" r:id="rId5"/>
    <sheet name="P45" sheetId="17" r:id="rId6"/>
    <sheet name="Agg Grad spec" sheetId="16" r:id="rId7"/>
    <sheet name="Data Extract" sheetId="6" r:id="rId8"/>
    <sheet name="Extract" sheetId="7" r:id="rId9"/>
  </sheets>
  <externalReferences>
    <externalReference r:id="rId10"/>
  </externalReferences>
  <definedNames>
    <definedName name="ExternalData_1" localSheetId="1" hidden="1">'control points'!$A$1:$C$14</definedName>
    <definedName name="_xlnm.Print_Area" localSheetId="0">'1 MIX DESIGN FORM'!$M$2:$Y$58,'1 MIX DESIGN FORM'!$A$2:$K$47</definedName>
    <definedName name="RTC_Agg_Spec">'Agg Grad spec'!$B$4:$O$16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7" i="17" l="1"/>
  <c r="I34" i="17"/>
  <c r="I33" i="17"/>
  <c r="I32" i="17"/>
  <c r="I31" i="17"/>
  <c r="I30" i="17"/>
  <c r="I29" i="17"/>
  <c r="I28" i="17"/>
  <c r="J48" i="17" s="1"/>
  <c r="I27" i="17"/>
  <c r="I26" i="17"/>
  <c r="I25" i="17"/>
  <c r="I24" i="17"/>
  <c r="J22" i="17"/>
  <c r="D36" i="8" l="1"/>
  <c r="E36" i="8"/>
  <c r="F36" i="8"/>
  <c r="G36" i="8"/>
  <c r="H36" i="8"/>
  <c r="I36" i="8"/>
  <c r="C36" i="8"/>
  <c r="H35" i="8"/>
  <c r="G35" i="8"/>
  <c r="F35" i="8"/>
  <c r="E35" i="8"/>
  <c r="D35" i="8"/>
  <c r="C35" i="8"/>
  <c r="J68" i="8"/>
  <c r="H47" i="8"/>
  <c r="H53" i="8"/>
  <c r="H54" i="8"/>
  <c r="Z24" i="8"/>
  <c r="H57" i="8" s="1"/>
  <c r="Z23" i="8"/>
  <c r="H56" i="8" s="1"/>
  <c r="Z22" i="8"/>
  <c r="H55" i="8" s="1"/>
  <c r="Z21" i="8"/>
  <c r="Z20" i="8"/>
  <c r="Z19" i="8"/>
  <c r="H52" i="8" s="1"/>
  <c r="Z18" i="8"/>
  <c r="H51" i="8" s="1"/>
  <c r="Z17" i="8"/>
  <c r="H50" i="8" s="1"/>
  <c r="Z16" i="8"/>
  <c r="H49" i="8" s="1"/>
  <c r="W15" i="8"/>
  <c r="Z15" i="8" s="1"/>
  <c r="H48" i="8" s="1"/>
  <c r="Z14" i="8"/>
  <c r="Z13" i="8"/>
  <c r="H46" i="8" s="1"/>
  <c r="Z12" i="8"/>
  <c r="H45" i="8" s="1"/>
  <c r="Z11" i="8"/>
  <c r="H44" i="8" s="1"/>
  <c r="W10" i="8"/>
  <c r="Z10" i="8" s="1"/>
  <c r="H43" i="8" s="1"/>
  <c r="W9" i="8"/>
  <c r="G53" i="8"/>
  <c r="G55" i="8"/>
  <c r="F52" i="8"/>
  <c r="F54" i="8"/>
  <c r="E54" i="8"/>
  <c r="V24" i="8"/>
  <c r="G57" i="8" s="1"/>
  <c r="V23" i="8"/>
  <c r="G56" i="8" s="1"/>
  <c r="V22" i="8"/>
  <c r="V21" i="8"/>
  <c r="G54" i="8" s="1"/>
  <c r="V20" i="8"/>
  <c r="V19" i="8"/>
  <c r="G52" i="8" s="1"/>
  <c r="V18" i="8"/>
  <c r="G51" i="8" s="1"/>
  <c r="V17" i="8"/>
  <c r="G50" i="8" s="1"/>
  <c r="V16" i="8"/>
  <c r="G49" i="8" s="1"/>
  <c r="V14" i="8"/>
  <c r="G47" i="8" s="1"/>
  <c r="V13" i="8"/>
  <c r="G46" i="8" s="1"/>
  <c r="V12" i="8"/>
  <c r="G45" i="8" s="1"/>
  <c r="V11" i="8"/>
  <c r="G44" i="8" s="1"/>
  <c r="R24" i="8"/>
  <c r="F57" i="8" s="1"/>
  <c r="R23" i="8"/>
  <c r="F56" i="8" s="1"/>
  <c r="R22" i="8"/>
  <c r="F55" i="8" s="1"/>
  <c r="R21" i="8"/>
  <c r="R20" i="8"/>
  <c r="F53" i="8" s="1"/>
  <c r="R19" i="8"/>
  <c r="R18" i="8"/>
  <c r="F51" i="8" s="1"/>
  <c r="R17" i="8"/>
  <c r="F50" i="8" s="1"/>
  <c r="R16" i="8"/>
  <c r="F49" i="8" s="1"/>
  <c r="R14" i="8"/>
  <c r="F47" i="8" s="1"/>
  <c r="R13" i="8"/>
  <c r="F46" i="8" s="1"/>
  <c r="R12" i="8"/>
  <c r="F45" i="8" s="1"/>
  <c r="R11" i="8"/>
  <c r="F44" i="8" s="1"/>
  <c r="N24" i="8"/>
  <c r="E57" i="8" s="1"/>
  <c r="N23" i="8"/>
  <c r="E56" i="8" s="1"/>
  <c r="N22" i="8"/>
  <c r="E55" i="8" s="1"/>
  <c r="N21" i="8"/>
  <c r="N20" i="8"/>
  <c r="E53" i="8" s="1"/>
  <c r="N19" i="8"/>
  <c r="E52" i="8" s="1"/>
  <c r="N18" i="8"/>
  <c r="E51" i="8" s="1"/>
  <c r="N17" i="8"/>
  <c r="E50" i="8" s="1"/>
  <c r="N16" i="8"/>
  <c r="E49" i="8" s="1"/>
  <c r="N14" i="8"/>
  <c r="E47" i="8" s="1"/>
  <c r="N13" i="8"/>
  <c r="E46" i="8" s="1"/>
  <c r="N12" i="8"/>
  <c r="E45" i="8" s="1"/>
  <c r="N11" i="8"/>
  <c r="E44" i="8" s="1"/>
  <c r="J24" i="8"/>
  <c r="D57" i="8" s="1"/>
  <c r="J23" i="8"/>
  <c r="D56" i="8" s="1"/>
  <c r="J22" i="8"/>
  <c r="D55" i="8" s="1"/>
  <c r="J21" i="8"/>
  <c r="D54" i="8" s="1"/>
  <c r="J20" i="8"/>
  <c r="D53" i="8" s="1"/>
  <c r="J19" i="8"/>
  <c r="D52" i="8" s="1"/>
  <c r="J18" i="8"/>
  <c r="D51" i="8" s="1"/>
  <c r="J17" i="8"/>
  <c r="D50" i="8" s="1"/>
  <c r="J16" i="8"/>
  <c r="D49" i="8" s="1"/>
  <c r="J14" i="8"/>
  <c r="D47" i="8" s="1"/>
  <c r="J13" i="8"/>
  <c r="D46" i="8" s="1"/>
  <c r="J12" i="8"/>
  <c r="D45" i="8" s="1"/>
  <c r="J11" i="8"/>
  <c r="D44" i="8" s="1"/>
  <c r="F11" i="8"/>
  <c r="C44" i="8" s="1"/>
  <c r="F12" i="8"/>
  <c r="C45" i="8" s="1"/>
  <c r="F13" i="8"/>
  <c r="C46" i="8" s="1"/>
  <c r="F14" i="8"/>
  <c r="C47" i="8" s="1"/>
  <c r="F16" i="8"/>
  <c r="C49" i="8" s="1"/>
  <c r="F17" i="8"/>
  <c r="C50" i="8" s="1"/>
  <c r="F18" i="8"/>
  <c r="C51" i="8" s="1"/>
  <c r="F19" i="8"/>
  <c r="C52" i="8" s="1"/>
  <c r="F20" i="8"/>
  <c r="C53" i="8" s="1"/>
  <c r="F21" i="8"/>
  <c r="C54" i="8" s="1"/>
  <c r="F22" i="8"/>
  <c r="C55" i="8" s="1"/>
  <c r="F23" i="8"/>
  <c r="C56" i="8" s="1"/>
  <c r="F24" i="8"/>
  <c r="C57" i="8" s="1"/>
  <c r="S9" i="8"/>
  <c r="O9" i="8"/>
  <c r="K9" i="8"/>
  <c r="G9" i="8"/>
  <c r="C9" i="8"/>
  <c r="I50" i="8" l="1"/>
  <c r="G10" i="8"/>
  <c r="J10" i="8" s="1"/>
  <c r="D43" i="8" s="1"/>
  <c r="K10" i="8"/>
  <c r="N10" i="8" s="1"/>
  <c r="E43" i="8" s="1"/>
  <c r="O10" i="8"/>
  <c r="R10" i="8" s="1"/>
  <c r="F43" i="8" s="1"/>
  <c r="S10" i="8"/>
  <c r="V10" i="8" s="1"/>
  <c r="G43" i="8" s="1"/>
  <c r="C10" i="8"/>
  <c r="F10" i="8" s="1"/>
  <c r="C43" i="8" s="1"/>
  <c r="G15" i="8"/>
  <c r="J15" i="8" s="1"/>
  <c r="D48" i="8" s="1"/>
  <c r="K15" i="8"/>
  <c r="N15" i="8" s="1"/>
  <c r="E48" i="8" s="1"/>
  <c r="O15" i="8"/>
  <c r="R15" i="8" s="1"/>
  <c r="F48" i="8" s="1"/>
  <c r="S15" i="8"/>
  <c r="V15" i="8" s="1"/>
  <c r="G48" i="8" s="1"/>
  <c r="C15" i="8"/>
  <c r="F15" i="8" s="1"/>
  <c r="C48" i="8" s="1"/>
  <c r="AA8" i="8"/>
  <c r="H23" i="1"/>
  <c r="W39" i="1"/>
  <c r="W37" i="1"/>
  <c r="W36" i="1"/>
  <c r="W33" i="1"/>
  <c r="W31" i="1"/>
  <c r="W29" i="1"/>
  <c r="W28" i="1"/>
  <c r="W27" i="1"/>
  <c r="K25" i="6"/>
  <c r="K22" i="6"/>
  <c r="W13" i="1"/>
  <c r="W14" i="1"/>
  <c r="K26" i="6" s="1"/>
  <c r="W15" i="1"/>
  <c r="K27" i="6" s="1"/>
  <c r="W16" i="1"/>
  <c r="K28" i="6" s="1"/>
  <c r="W17" i="1"/>
  <c r="K29" i="6" s="1"/>
  <c r="W18" i="1"/>
  <c r="K30" i="6" s="1"/>
  <c r="W7" i="1"/>
  <c r="C16" i="1" s="1"/>
  <c r="W8" i="1"/>
  <c r="K20" i="6" s="1"/>
  <c r="W9" i="1"/>
  <c r="C18" i="1" s="1"/>
  <c r="W10" i="1"/>
  <c r="W11" i="1"/>
  <c r="C20" i="1" s="1"/>
  <c r="W12" i="1"/>
  <c r="C21" i="1" s="1"/>
  <c r="U22" i="6"/>
  <c r="V22" i="6" s="1"/>
  <c r="U23" i="6"/>
  <c r="V23" i="6" s="1"/>
  <c r="U24" i="6"/>
  <c r="W24" i="6" s="1"/>
  <c r="U25" i="6"/>
  <c r="W25" i="6" s="1"/>
  <c r="U26" i="6"/>
  <c r="W26" i="6" s="1"/>
  <c r="U27" i="6"/>
  <c r="W27" i="6" s="1"/>
  <c r="U28" i="6"/>
  <c r="W28" i="6" s="1"/>
  <c r="U29" i="6"/>
  <c r="W29" i="6" s="1"/>
  <c r="U30" i="6"/>
  <c r="W30" i="6" s="1"/>
  <c r="U21" i="6"/>
  <c r="V21" i="6" s="1"/>
  <c r="W20" i="6"/>
  <c r="W21" i="6"/>
  <c r="W22" i="6"/>
  <c r="E2" i="7"/>
  <c r="BF2" i="7"/>
  <c r="BE2" i="7"/>
  <c r="BD2" i="7"/>
  <c r="BC2" i="7"/>
  <c r="BB2" i="7"/>
  <c r="AY2" i="7"/>
  <c r="W47" i="1"/>
  <c r="C24" i="1"/>
  <c r="C25" i="1"/>
  <c r="C27" i="1"/>
  <c r="R2" i="7" s="1"/>
  <c r="E20" i="6"/>
  <c r="E21" i="6"/>
  <c r="E22" i="6"/>
  <c r="E23" i="6"/>
  <c r="E24" i="6"/>
  <c r="E25" i="6"/>
  <c r="E26" i="6"/>
  <c r="E27" i="6"/>
  <c r="E28" i="6"/>
  <c r="E29" i="6"/>
  <c r="E30" i="6"/>
  <c r="E19" i="6"/>
  <c r="S21" i="6"/>
  <c r="S27" i="6"/>
  <c r="S28" i="6"/>
  <c r="P22" i="1"/>
  <c r="Q22" i="1"/>
  <c r="R22" i="1"/>
  <c r="S22" i="1"/>
  <c r="T22" i="1"/>
  <c r="U22" i="1"/>
  <c r="V22" i="1"/>
  <c r="O22" i="1"/>
  <c r="P23" i="1"/>
  <c r="J16" i="1" s="1"/>
  <c r="Q23" i="1"/>
  <c r="J17" i="1" s="1"/>
  <c r="R23" i="1"/>
  <c r="J18" i="1" s="1"/>
  <c r="S23" i="1"/>
  <c r="J19" i="1" s="1"/>
  <c r="T23" i="1"/>
  <c r="U23" i="1"/>
  <c r="V23" i="1"/>
  <c r="O23" i="1"/>
  <c r="J15" i="1" s="1"/>
  <c r="P24" i="1"/>
  <c r="H16" i="1" s="1"/>
  <c r="Q24" i="1"/>
  <c r="H17" i="1" s="1"/>
  <c r="R24" i="1"/>
  <c r="H18" i="1" s="1"/>
  <c r="S24" i="1"/>
  <c r="H19" i="1" s="1"/>
  <c r="T24" i="1"/>
  <c r="U24" i="1"/>
  <c r="V24" i="1"/>
  <c r="O24" i="1"/>
  <c r="H15" i="1" s="1"/>
  <c r="P25" i="1"/>
  <c r="K16" i="1" s="1"/>
  <c r="Q25" i="1"/>
  <c r="K17" i="1" s="1"/>
  <c r="R25" i="1"/>
  <c r="K18" i="1" s="1"/>
  <c r="S25" i="1"/>
  <c r="K19" i="1" s="1"/>
  <c r="T25" i="1"/>
  <c r="K20" i="1" s="1"/>
  <c r="U25" i="1"/>
  <c r="K21" i="1" s="1"/>
  <c r="S20" i="6" s="1"/>
  <c r="V25" i="1"/>
  <c r="O25" i="1"/>
  <c r="K15" i="1" s="1"/>
  <c r="O34" i="8"/>
  <c r="O38" i="8"/>
  <c r="O40" i="8"/>
  <c r="O41" i="8"/>
  <c r="O43" i="8"/>
  <c r="W54" i="1"/>
  <c r="W53" i="1"/>
  <c r="AX2" i="7"/>
  <c r="AQ2" i="7"/>
  <c r="E30" i="1"/>
  <c r="BJ2" i="7"/>
  <c r="K24" i="1"/>
  <c r="C3" i="8" s="1"/>
  <c r="H24" i="1"/>
  <c r="AT2" i="7" a="1"/>
  <c r="AT2" i="7" s="1"/>
  <c r="BA2" i="7"/>
  <c r="AW2" i="7"/>
  <c r="AV2" i="7"/>
  <c r="AU2" i="7"/>
  <c r="AR2" i="7"/>
  <c r="T2" i="7"/>
  <c r="U2" i="7"/>
  <c r="D2" i="7"/>
  <c r="C2" i="7"/>
  <c r="C3" i="13"/>
  <c r="C4" i="13"/>
  <c r="C5" i="13"/>
  <c r="C6" i="13"/>
  <c r="C7" i="13"/>
  <c r="C8" i="13"/>
  <c r="C9" i="13"/>
  <c r="C10" i="13"/>
  <c r="C11" i="13"/>
  <c r="C12" i="13"/>
  <c r="C13" i="13"/>
  <c r="C14" i="13"/>
  <c r="C2" i="13"/>
  <c r="B3" i="13"/>
  <c r="B4" i="13"/>
  <c r="B5" i="13"/>
  <c r="B6" i="13"/>
  <c r="B7" i="13"/>
  <c r="B8" i="13"/>
  <c r="B9" i="13"/>
  <c r="B10" i="13"/>
  <c r="B11" i="13"/>
  <c r="B12" i="13"/>
  <c r="B13" i="13"/>
  <c r="B14" i="13"/>
  <c r="B2" i="13"/>
  <c r="I25" i="6"/>
  <c r="I26" i="6"/>
  <c r="I27" i="6"/>
  <c r="I29" i="6"/>
  <c r="K21" i="6" l="1"/>
  <c r="J21" i="6" s="1"/>
  <c r="C17" i="1"/>
  <c r="K24" i="6"/>
  <c r="J24" i="6" s="1"/>
  <c r="C26" i="1"/>
  <c r="K23" i="6"/>
  <c r="I23" i="6" s="1"/>
  <c r="K19" i="6"/>
  <c r="C19" i="1"/>
  <c r="C28" i="1"/>
  <c r="V29" i="6"/>
  <c r="S23" i="6"/>
  <c r="S29" i="6"/>
  <c r="S22" i="6"/>
  <c r="V24" i="6"/>
  <c r="S25" i="6"/>
  <c r="V27" i="6"/>
  <c r="S30" i="6"/>
  <c r="S24" i="6"/>
  <c r="W23" i="6"/>
  <c r="V28" i="6"/>
  <c r="V26" i="6"/>
  <c r="V30" i="6"/>
  <c r="V25" i="6"/>
  <c r="S26" i="6"/>
  <c r="V43" i="1"/>
  <c r="BK2" i="7"/>
  <c r="W46" i="1"/>
  <c r="W25" i="1"/>
  <c r="J30" i="6"/>
  <c r="I30" i="6"/>
  <c r="J20" i="6"/>
  <c r="I20" i="6"/>
  <c r="J28" i="6"/>
  <c r="I28" i="6"/>
  <c r="J22" i="6"/>
  <c r="I22" i="6"/>
  <c r="J23" i="6" l="1"/>
  <c r="I21" i="6"/>
  <c r="V44" i="1"/>
  <c r="I24" i="6"/>
  <c r="V41" i="1"/>
  <c r="V42" i="1"/>
  <c r="AR2" i="6"/>
  <c r="AO2" i="6"/>
  <c r="AN2" i="6"/>
  <c r="AI2" i="6"/>
  <c r="AH2" i="6"/>
  <c r="AG2" i="6"/>
  <c r="AF2" i="6"/>
  <c r="AE2" i="6"/>
  <c r="AC2" i="6"/>
  <c r="AB2" i="6"/>
  <c r="AA2" i="6"/>
  <c r="Z2" i="6"/>
  <c r="Y2" i="6"/>
  <c r="X2" i="6"/>
  <c r="W2" i="6"/>
  <c r="V2" i="6"/>
  <c r="T2" i="6"/>
  <c r="F2" i="6"/>
  <c r="E2" i="6"/>
  <c r="C2" i="6"/>
  <c r="B2" i="6"/>
  <c r="H2" i="6"/>
  <c r="D25" i="1"/>
  <c r="X20" i="6"/>
  <c r="Y2" i="7" s="1"/>
  <c r="AB2" i="7"/>
  <c r="AD2" i="7"/>
  <c r="AH2" i="7"/>
  <c r="X29" i="6"/>
  <c r="Y29" i="6" s="1"/>
  <c r="AN2" i="7"/>
  <c r="Z2" i="7"/>
  <c r="W19" i="6"/>
  <c r="V2" i="7" s="1"/>
  <c r="U19" i="6"/>
  <c r="V19" i="6"/>
  <c r="X19" i="6" s="1"/>
  <c r="W2" i="7" s="1"/>
  <c r="X2" i="7"/>
  <c r="X24" i="6" l="1"/>
  <c r="Y24" i="6" s="1"/>
  <c r="X28" i="6"/>
  <c r="Y28" i="6" s="1"/>
  <c r="X27" i="6"/>
  <c r="Y27" i="6" s="1"/>
  <c r="Y20" i="6"/>
  <c r="E17" i="1" s="1"/>
  <c r="X25" i="6"/>
  <c r="Y25" i="6" s="1"/>
  <c r="AJ2" i="7"/>
  <c r="X21" i="6"/>
  <c r="Y21" i="6" s="1"/>
  <c r="AL2" i="7"/>
  <c r="AF2" i="7"/>
  <c r="E33" i="1"/>
  <c r="E35" i="1"/>
  <c r="E34" i="1"/>
  <c r="F19" i="6"/>
  <c r="F20" i="6"/>
  <c r="F21" i="6"/>
  <c r="F22" i="6"/>
  <c r="F23" i="6"/>
  <c r="F24" i="6"/>
  <c r="F25" i="6"/>
  <c r="F26" i="6"/>
  <c r="F27" i="6"/>
  <c r="F28" i="6"/>
  <c r="F29" i="6"/>
  <c r="F30" i="6"/>
  <c r="X18" i="6"/>
  <c r="W18" i="6"/>
  <c r="J25" i="6"/>
  <c r="J26" i="6"/>
  <c r="J27" i="6"/>
  <c r="J29" i="6"/>
  <c r="K12" i="1"/>
  <c r="AK2" i="7" l="1"/>
  <c r="X26" i="6"/>
  <c r="Y26" i="6" s="1"/>
  <c r="AG2" i="7"/>
  <c r="X30" i="6"/>
  <c r="Y30" i="6" s="1"/>
  <c r="X23" i="6"/>
  <c r="Y23" i="6" s="1"/>
  <c r="X22" i="6"/>
  <c r="Y22" i="6" s="1"/>
  <c r="AM2" i="7"/>
  <c r="F2" i="7"/>
  <c r="W55" i="1"/>
  <c r="W48" i="1"/>
  <c r="E18" i="1"/>
  <c r="AA2" i="7"/>
  <c r="G24" i="6"/>
  <c r="G2" i="7"/>
  <c r="N2" i="7"/>
  <c r="I2" i="7"/>
  <c r="H2" i="7"/>
  <c r="G28" i="6"/>
  <c r="G22" i="6"/>
  <c r="G20" i="6"/>
  <c r="Y8" i="1" s="1"/>
  <c r="G30" i="6"/>
  <c r="G21" i="6"/>
  <c r="G19" i="6"/>
  <c r="G23" i="6"/>
  <c r="AE2" i="7" l="1"/>
  <c r="AC2" i="7"/>
  <c r="AO2" i="7"/>
  <c r="AI2" i="7"/>
  <c r="Y9" i="1"/>
  <c r="N2" i="6"/>
  <c r="M2" i="7"/>
  <c r="P2" i="6"/>
  <c r="P2" i="7"/>
  <c r="Q2" i="6"/>
  <c r="Q2" i="7"/>
  <c r="L2" i="6"/>
  <c r="K2" i="7"/>
  <c r="M2" i="6"/>
  <c r="L2" i="7"/>
  <c r="S2" i="6"/>
  <c r="S2" i="7"/>
  <c r="K2" i="6"/>
  <c r="J2" i="7"/>
  <c r="I2" i="6"/>
  <c r="D16" i="1"/>
  <c r="X7" i="1" s="1"/>
  <c r="D26" i="1"/>
  <c r="X16" i="1" s="1"/>
  <c r="J2" i="6"/>
  <c r="D23" i="1"/>
  <c r="O2" i="6"/>
  <c r="D27" i="1"/>
  <c r="R2" i="6"/>
  <c r="D20" i="1"/>
  <c r="X11" i="1" s="1"/>
  <c r="D17" i="1"/>
  <c r="X8" i="1" s="1"/>
  <c r="D22" i="1"/>
  <c r="D24" i="1"/>
  <c r="D18" i="1"/>
  <c r="X9" i="1" s="1"/>
  <c r="F27" i="1"/>
  <c r="D21" i="1"/>
  <c r="X12" i="1" s="1"/>
  <c r="F20" i="1"/>
  <c r="G20" i="1"/>
  <c r="G21" i="1"/>
  <c r="D28" i="1"/>
  <c r="X18" i="1" s="1"/>
  <c r="G27" i="1"/>
  <c r="F21" i="1"/>
  <c r="D19" i="1"/>
  <c r="X10" i="1" s="1"/>
  <c r="E22" i="1"/>
  <c r="E28" i="1"/>
  <c r="Y18" i="1" s="1"/>
  <c r="E24" i="1"/>
  <c r="E25" i="1"/>
  <c r="E26" i="1"/>
  <c r="Y16" i="1" s="1"/>
  <c r="E23" i="1"/>
  <c r="Y19" i="6"/>
  <c r="E16" i="1" s="1"/>
  <c r="Y7" i="1" s="1"/>
  <c r="E19" i="1"/>
  <c r="Y10" i="1" s="1"/>
  <c r="E21" i="1"/>
  <c r="Y12" i="1" s="1"/>
  <c r="E20" i="1"/>
  <c r="Y11" i="1" s="1"/>
  <c r="E27" i="1" l="1"/>
  <c r="W31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tc={BEA60564-255E-43C5-9F3A-43A2EF8DDAEB}</author>
    <author>tc={A4505B07-9284-4D5C-A693-FEAC396E9F07}</author>
    <author>Nicholas Warnke</author>
    <author>tc={310DBDD2-C742-431F-8BCA-1AE6955D0EC7}</author>
    <author>tc={3EE91580-A2EA-4DDD-8599-067FE1B224AE}</author>
    <author>tc={1E89AB76-9EAC-4891-847C-726B1D4112FF}</author>
    <author>tc={4778065F-2179-4996-A0C4-BDA1CCEE3DFD}</author>
    <author>tc={CB07B6BE-4C23-4003-8F09-70ECBF0C8E4E}</author>
    <author>tc={E0BBAFFE-DD9A-44CE-8E5B-00C9663C3540}</author>
    <author>tc={B5ACF9E8-B898-44A7-A030-35F5F1461BC4}</author>
    <author>tc={8614F526-6218-4AF0-A65B-0D508C30471F}</author>
    <author>tc={0CA3D6CB-2764-4424-834F-E8EDD5129B23}</author>
    <author>tc={0535F851-3C15-4601-B569-B4F764511F80}</author>
    <author>tc={8FE196DB-7999-4DD4-BD66-0AFED3FF4F65}</author>
    <author>tc={5F6C3E63-8361-49F6-9AA2-9C9B85EE6A4D}</author>
    <author>tc={1B296E6E-AFE8-4C1A-B618-6DE889D3949C}</author>
    <author>tc={78DD67B2-8568-488A-9338-BED0A1B11E26}</author>
    <author>tc={F08FD650-658A-44C2-852A-E57DD0786F67}</author>
    <author>tc={8C75256F-47C0-41AA-A598-9F372BFE0CAC}</author>
    <author>tc={C42334E0-018B-45C9-8D1F-D6879A434203}</author>
    <author>tc={04A31938-BFEE-4A9E-8CC8-05399BFDC663}</author>
  </authors>
  <commentList>
    <comment ref="D14" authorId="0" shapeId="0" xr:uid="{BEA60564-255E-43C5-9F3A-43A2EF8DDAEB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 Gradation if not showing (k20)</t>
      </text>
    </comment>
    <comment ref="E14" authorId="1" shapeId="0" xr:uid="{A4505B07-9284-4D5C-A693-FEAC396E9F07}">
      <text>
        <t>[Threaded comment]
Your version of Excel allows you to read this threaded comment; however, any edits to it will get removed if the file is opened in a newer version of Excel. Learn more: https://go.microsoft.com/fwlink/?linkid=870924
Comment:
    CCUSS   705.03.01  or  705.03.08</t>
      </text>
    </comment>
    <comment ref="K22" authorId="2" shapeId="0" xr:uid="{02E827E1-29EC-4027-A927-6E766ECDCD52}">
      <text>
        <r>
          <rPr>
            <b/>
            <sz val="9"/>
            <color indexed="81"/>
            <rFont val="Tahoma"/>
            <family val="2"/>
          </rPr>
          <t>Nicholas Warnke:</t>
        </r>
        <r>
          <rPr>
            <sz val="9"/>
            <color indexed="81"/>
            <rFont val="Tahoma"/>
            <family val="2"/>
          </rPr>
          <t xml:space="preserve">
Update When Switching UTACS to HMA(Fine Course)  Will update Spec Range</t>
        </r>
      </text>
    </comment>
    <comment ref="H29" authorId="3" shapeId="0" xr:uid="{310DBDD2-C742-431F-8BCA-1AE6955D0EC7}">
      <text>
        <t>[Threaded comment]
Your version of Excel allows you to read this threaded comment; however, any edits to it will get removed if the file is opened in a newer version of Excel. Learn more: https://go.microsoft.com/fwlink/?linkid=870924
Comment:
    CCUSS 401.03.08</t>
      </text>
    </comment>
    <comment ref="A30" authorId="4" shapeId="0" xr:uid="{3EE91580-A2EA-4DDD-8599-067FE1B224AE}">
      <text>
        <t>[Threaded comment]
Your version of Excel allows you to read this threaded comment; however, any edits to it will get removed if the file is opened in a newer version of Excel. Learn more: https://go.microsoft.com/fwlink/?linkid=870924
Comment:
    CCUSS 401.02.01D</t>
      </text>
    </comment>
    <comment ref="H31" authorId="5" shapeId="0" xr:uid="{1E89AB76-9EAC-4891-847C-726B1D4112FF}">
      <text>
        <t>[Threaded comment]
Your version of Excel allows you to read this threaded comment; however, any edits to it will get removed if the file is opened in a newer version of Excel. Learn more: https://go.microsoft.com/fwlink/?linkid=870924
Comment:
    CCUSS 401.02.01C</t>
      </text>
    </comment>
    <comment ref="A33" authorId="6" shapeId="0" xr:uid="{4778065F-2179-4996-A0C4-BDA1CCEE3DFD}">
      <text>
        <t>[Threaded comment]
Your version of Excel allows you to read this threaded comment; however, any edits to it will get removed if the file is opened in a newer version of Excel. Learn more: https://go.microsoft.com/fwlink/?linkid=870924
Comment:
    CCUSS 401.02D HMA or 413.02.02 UTACS</t>
      </text>
    </comment>
    <comment ref="A34" authorId="7" shapeId="0" xr:uid="{CB07B6BE-4C23-4003-8F09-70ECBF0C8E4E}">
      <text>
        <t>[Threaded comment]
Your version of Excel allows you to read this threaded comment; however, any edits to it will get removed if the file is opened in a newer version of Excel. Learn more: https://go.microsoft.com/fwlink/?linkid=870924
Comment:
    CCUSS 401.01</t>
      </text>
    </comment>
    <comment ref="H34" authorId="8" shapeId="0" xr:uid="{E0BBAFFE-DD9A-44CE-8E5B-00C9663C3540}">
      <text>
        <t>[Threaded comment]
Your version of Excel allows you to read this threaded comment; however, any edits to it will get removed if the file is opened in a newer version of Excel. Learn more: https://go.microsoft.com/fwlink/?linkid=870924
Comment:
    CCUSS 401.02.01L, 401.02.01N</t>
      </text>
    </comment>
    <comment ref="A35" authorId="9" shapeId="0" xr:uid="{B5ACF9E8-B898-44A7-A030-35F5F1461BC4}">
      <text>
        <t>[Threaded comment]
Your version of Excel allows you to read this threaded comment; however, any edits to it will get removed if the file is opened in a newer version of Excel. Learn more: https://go.microsoft.com/fwlink/?linkid=870924
Comment:
    CCUSS 401.02.01D</t>
      </text>
    </comment>
    <comment ref="H35" authorId="10" shapeId="0" xr:uid="{8614F526-6218-4AF0-A65B-0D508C30471F}">
      <text>
        <t>[Threaded comment]
Your version of Excel allows you to read this threaded comment; however, any edits to it will get removed if the file is opened in a newer version of Excel. Learn more: https://go.microsoft.com/fwlink/?linkid=870924
Comment:
    CCUSS 401.02.01L, 401.02.01N</t>
      </text>
    </comment>
    <comment ref="W46" authorId="11" shapeId="0" xr:uid="{0CA3D6CB-2764-4424-834F-E8EDD5129B23}">
      <text>
        <t>[Threaded comment]
Your version of Excel allows you to read this threaded comment; however, any edits to it will get removed if the file is opened in a newer version of Excel. Learn more: https://go.microsoft.com/fwlink/?linkid=870924
Comment:
    TABLE 2, 705.03.01</t>
      </text>
    </comment>
    <comment ref="W47" authorId="12" shapeId="0" xr:uid="{0535F851-3C15-4601-B569-B4F764511F80}">
      <text>
        <t>[Threaded comment]
Your version of Excel allows you to read this threaded comment; however, any edits to it will get removed if the file is opened in a newer version of Excel. Learn more: https://go.microsoft.com/fwlink/?linkid=870924
Comment:
    TABLE 2, 705.03.01,705.03.08D(UTACS)</t>
      </text>
    </comment>
    <comment ref="W48" authorId="13" shapeId="0" xr:uid="{8FE196DB-7999-4DD4-BD66-0AFED3FF4F65}">
      <text>
        <t>[Threaded comment]
Your version of Excel allows you to read this threaded comment; however, any edits to it will get removed if the file is opened in a newer version of Excel. Learn more: https://go.microsoft.com/fwlink/?linkid=870924
Comment:
    HMA 705.03.04C, UTACS 705.03.08B</t>
      </text>
    </comment>
    <comment ref="W51" authorId="14" shapeId="0" xr:uid="{5F6C3E63-8361-49F6-9AA2-9C9B85EE6A4D}">
      <text>
        <t>[Threaded comment]
Your version of Excel allows you to read this threaded comment; however, any edits to it will get removed if the file is opened in a newer version of Excel. Learn more: https://go.microsoft.com/fwlink/?linkid=870924
Comment:
    705.03.01 TABLE 1</t>
      </text>
    </comment>
    <comment ref="W52" authorId="15" shapeId="0" xr:uid="{1B296E6E-AFE8-4C1A-B618-6DE889D3949C}">
      <text>
        <t>[Threaded comment]
Your version of Excel allows you to read this threaded comment; however, any edits to it will get removed if the file is opened in a newer version of Excel. Learn more: https://go.microsoft.com/fwlink/?linkid=870924
Comment:
    705.03.01 TABLE 1, 705.03.08D(UTACS)</t>
      </text>
    </comment>
    <comment ref="W53" authorId="16" shapeId="0" xr:uid="{78DD67B2-8568-488A-9338-BED0A1B11E26}">
      <text>
        <t>[Threaded comment]
Your version of Excel allows you to read this threaded comment; however, any edits to it will get removed if the file is opened in a newer version of Excel. Learn more: https://go.microsoft.com/fwlink/?linkid=870924
Comment:
    705.03.01 TABLE 1</t>
      </text>
    </comment>
    <comment ref="W54" authorId="17" shapeId="0" xr:uid="{F08FD650-658A-44C2-852A-E57DD0786F67}">
      <text>
        <t>[Threaded comment]
Your version of Excel allows you to read this threaded comment; however, any edits to it will get removed if the file is opened in a newer version of Excel. Learn more: https://go.microsoft.com/fwlink/?linkid=870924
Comment:
    705.03.01 TABLE 1, 705.03.08D(UTACS)</t>
      </text>
    </comment>
    <comment ref="W55" authorId="18" shapeId="0" xr:uid="{8C75256F-47C0-41AA-A598-9F372BFE0CAC}">
      <text>
        <t>[Threaded comment]
Your version of Excel allows you to read this threaded comment; however, any edits to it will get removed if the file is opened in a newer version of Excel. Learn more: https://go.microsoft.com/fwlink/?linkid=870924
Comment:
    705.03.01 TABLE 1</t>
      </text>
    </comment>
    <comment ref="W56" authorId="19" shapeId="0" xr:uid="{C42334E0-018B-45C9-8D1F-D6879A434203}">
      <text>
        <t>[Threaded comment]
Your version of Excel allows you to read this threaded comment; however, any edits to it will get removed if the file is opened in a newer version of Excel. Learn more: https://go.microsoft.com/fwlink/?linkid=870924
Comment:
    705.03.01 TABLE 1</t>
      </text>
    </comment>
    <comment ref="W57" authorId="20" shapeId="0" xr:uid="{04A31938-BFEE-4A9E-8CC8-05399BFDC663}">
      <text>
        <t>[Threaded comment]
Your version of Excel allows you to read this threaded comment; however, any edits to it will get removed if the file is opened in a newer version of Excel. Learn more: https://go.microsoft.com/fwlink/?linkid=870924
Comment:
    705.03.08D(UTACS) 705.03.04C TABLE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tc={F97E3D4F-6180-4006-A80B-4B1B5512071F}</author>
    <author>tc={9B1EA5FC-A7B4-48D0-86A8-33A981A9933F}</author>
  </authors>
  <commentList>
    <comment ref="O47" authorId="0" shapeId="0" xr:uid="{F97E3D4F-6180-4006-A80B-4B1B5512071F}">
      <text>
        <t>[Threaded comment]
Your version of Excel allows you to read this threaded comment; however, any edits to it will get removed if the file is opened in a newer version of Excel. Learn more: https://go.microsoft.com/fwlink/?linkid=870924
Comment:
    401.02.01E 50% psi min with AC-10 Asphalt</t>
      </text>
    </comment>
    <comment ref="O48" authorId="1" shapeId="0" xr:uid="{9B1EA5FC-A7B4-48D0-86A8-33A981A9933F}">
      <text>
        <t>[Threaded comment]
Your version of Excel allows you to read this threaded comment; however, any edits to it will get removed if the file is opened in a newer version of Excel. Learn more: https://go.microsoft.com/fwlink/?linkid=870924
Comment:
    401.02.01E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D990BB-6839-4B94-9BDB-69F2AE1C0654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  <connection id="2" xr16:uid="{DA01F35C-2DE2-4FA2-8C6B-12CC4AE091E9}" keepAlive="1" name="Query - Table1 (2)" description="Connection to the 'Table1 (2)' query in the workbook." type="5" refreshedVersion="7" background="1" saveData="1">
    <dbPr connection="Provider=Microsoft.Mashup.OleDb.1;Data Source=$Workbook$;Location=&quot;Table1 (2)&quot;;Extended Properties=&quot;&quot;" command="SELECT * FROM [Table1 (2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<sst xmlns="http://schemas.openxmlformats.org/spreadsheetml/2006/main" count="650" uniqueCount="446">
  <si>
    <t>9335 S. JONES BOULEVARD, LAS VEGAS 89141</t>
  </si>
  <si>
    <t xml:space="preserve">CLARK COUNTY DEPARTMENT OF PUBLIC WORKS </t>
  </si>
  <si>
    <t>ASPHALT CONCRETE MIX DESIGN SUBMITTAL FORM</t>
  </si>
  <si>
    <t>Insert Co Logo</t>
  </si>
  <si>
    <t>MIX DESIGN ID#</t>
  </si>
  <si>
    <t>Job Mix Formula</t>
  </si>
  <si>
    <t>Sieve</t>
  </si>
  <si>
    <t>Target</t>
  </si>
  <si>
    <t>Job-Mix Range</t>
  </si>
  <si>
    <t>Specification Range</t>
  </si>
  <si>
    <t>1"</t>
  </si>
  <si>
    <t>3/4"</t>
  </si>
  <si>
    <t>1/2"</t>
  </si>
  <si>
    <t>3/8"</t>
  </si>
  <si>
    <t>#4</t>
  </si>
  <si>
    <t>#8</t>
  </si>
  <si>
    <t>#16</t>
  </si>
  <si>
    <t>#30</t>
  </si>
  <si>
    <t>#50</t>
  </si>
  <si>
    <t># 100</t>
  </si>
  <si>
    <t>#200</t>
  </si>
  <si>
    <t>25mm</t>
  </si>
  <si>
    <t>19mm</t>
  </si>
  <si>
    <t>4.75mm</t>
  </si>
  <si>
    <t>0.60 mm</t>
  </si>
  <si>
    <t>0.30 mm</t>
  </si>
  <si>
    <t>9.5 mm</t>
  </si>
  <si>
    <t>12.5 mm</t>
  </si>
  <si>
    <t>2.36 mm</t>
  </si>
  <si>
    <t>1.18 mm</t>
  </si>
  <si>
    <t>0.15 mm</t>
  </si>
  <si>
    <t>RAP</t>
  </si>
  <si>
    <t>CRUSHER FINES</t>
  </si>
  <si>
    <t>RAP SOURCE</t>
  </si>
  <si>
    <t>ANTI STRIP (HYDRATED LIME)</t>
  </si>
  <si>
    <t>RECOMMENDED ASPHALT CONTENT PERCENTAGE (BY TOTAL WEIGHT OF MIX)</t>
  </si>
  <si>
    <t>ASPHALT CEMENT GRADE</t>
  </si>
  <si>
    <r>
      <t xml:space="preserve">75 </t>
    </r>
    <r>
      <rPr>
        <sz val="10"/>
        <color theme="1"/>
        <rFont val="Calibri"/>
        <family val="2"/>
      </rPr>
      <t>µ</t>
    </r>
    <r>
      <rPr>
        <sz val="10"/>
        <color theme="1"/>
        <rFont val="Calibri"/>
        <family val="2"/>
        <scheme val="minor"/>
      </rPr>
      <t>m</t>
    </r>
  </si>
  <si>
    <t>Prepared By:</t>
  </si>
  <si>
    <t>Insert Company</t>
  </si>
  <si>
    <t>Printed Name:</t>
  </si>
  <si>
    <t>Title</t>
  </si>
  <si>
    <t>FINE AGGREGATE SOURCE</t>
  </si>
  <si>
    <t>COARSE AGGREGATE SOURCE</t>
  </si>
  <si>
    <t>ASPHALT CEMENT SUPPLIER</t>
  </si>
  <si>
    <t>NOTE:</t>
  </si>
  <si>
    <t xml:space="preserve">Clark County Specification: Sections 401, 404, 702, &amp; 705.  AASHTO </t>
  </si>
  <si>
    <t xml:space="preserve"> DESIGN YEAR</t>
  </si>
  <si>
    <t>I</t>
  </si>
  <si>
    <t>II</t>
  </si>
  <si>
    <t>FLOW, .01 In.</t>
  </si>
  <si>
    <t>STABILITY (lbs)</t>
  </si>
  <si>
    <t>AIR VOIDS %</t>
  </si>
  <si>
    <t>Pavement designed for 4% AC Content.</t>
  </si>
  <si>
    <t>Hot Mix AC or UTACS</t>
  </si>
  <si>
    <t>S1</t>
  </si>
  <si>
    <t>S2</t>
  </si>
  <si>
    <t>S3</t>
  </si>
  <si>
    <t>HMA</t>
  </si>
  <si>
    <t>UTACS</t>
  </si>
  <si>
    <t>100</t>
  </si>
  <si>
    <t>Type IIC</t>
  </si>
  <si>
    <t>Type IIF</t>
  </si>
  <si>
    <t>Aggregate Type</t>
  </si>
  <si>
    <t>2 Course</t>
  </si>
  <si>
    <t>2 Fine</t>
  </si>
  <si>
    <t>Material Source</t>
  </si>
  <si>
    <t>Material Description</t>
  </si>
  <si>
    <t>Bin Percentage</t>
  </si>
  <si>
    <t>Job Mix Range</t>
  </si>
  <si>
    <t>RTC Specs</t>
  </si>
  <si>
    <t>#</t>
  </si>
  <si>
    <t>Composite Gradation</t>
  </si>
  <si>
    <t>Mix Design</t>
  </si>
  <si>
    <t>Year</t>
  </si>
  <si>
    <t>#10</t>
  </si>
  <si>
    <t>2.0 mm</t>
  </si>
  <si>
    <t>#40</t>
  </si>
  <si>
    <t>High</t>
  </si>
  <si>
    <t>Low</t>
  </si>
  <si>
    <t>Job Mix</t>
  </si>
  <si>
    <t>19</t>
  </si>
  <si>
    <t>7</t>
  </si>
  <si>
    <t>2</t>
  </si>
  <si>
    <t>55</t>
  </si>
  <si>
    <t>32</t>
  </si>
  <si>
    <t>25</t>
  </si>
  <si>
    <t>18</t>
  </si>
  <si>
    <t>13</t>
  </si>
  <si>
    <t>10</t>
  </si>
  <si>
    <t>4</t>
  </si>
  <si>
    <t>6</t>
  </si>
  <si>
    <t>8</t>
  </si>
  <si>
    <t>15</t>
  </si>
  <si>
    <t>40</t>
  </si>
  <si>
    <t>23</t>
  </si>
  <si>
    <t>22</t>
  </si>
  <si>
    <t>85</t>
  </si>
  <si>
    <t>80</t>
  </si>
  <si>
    <t>38</t>
  </si>
  <si>
    <t>60</t>
  </si>
  <si>
    <t>Spec Range</t>
  </si>
  <si>
    <t>.45 mm</t>
  </si>
  <si>
    <t>Min</t>
  </si>
  <si>
    <t>Max</t>
  </si>
  <si>
    <t>+/-</t>
  </si>
  <si>
    <t>Specs Low</t>
  </si>
  <si>
    <t>Specs High</t>
  </si>
  <si>
    <t>Product Description</t>
  </si>
  <si>
    <t>Rice</t>
  </si>
  <si>
    <t>Asphalt mix design is prepareded and performs in accordance with the Asphalt Institure Manual Series No 2 (MS-2) (latest version as of the submittal), Marshall Method, and above referenced Uniform Specifications for Public Works Construction, Latest Version.  IQAC approval is a 12-month max period (Jan 31st to Jan 2nd(resubmit))</t>
  </si>
  <si>
    <t>Reviewed by (Stamping Engineer):</t>
  </si>
  <si>
    <t>5</t>
  </si>
  <si>
    <t>Proposed Specification</t>
  </si>
  <si>
    <t>Proposed HMA Specification</t>
  </si>
  <si>
    <t>Proposed UTACS Spec</t>
  </si>
  <si>
    <t>CCUSD Specification - utacs</t>
  </si>
  <si>
    <t>CCUSD Specifaction for HMA Mix</t>
  </si>
  <si>
    <t>Proposed CCUSD Specification</t>
  </si>
  <si>
    <t>Gradation</t>
  </si>
  <si>
    <t>UNIT WEIGHT (PCF)</t>
  </si>
  <si>
    <t>Marshall Data</t>
  </si>
  <si>
    <t>Mix/Comp. Temperature</t>
  </si>
  <si>
    <t>Blows per side</t>
  </si>
  <si>
    <t xml:space="preserve">Asphalt Binder </t>
  </si>
  <si>
    <t>Asphalt Cement Source</t>
  </si>
  <si>
    <t>Recycled Asphalt Binder</t>
  </si>
  <si>
    <t>Specimen Number</t>
  </si>
  <si>
    <t>% Asphalt by Total Weight</t>
  </si>
  <si>
    <t xml:space="preserve">% Asphalt by Dry Aggregate </t>
  </si>
  <si>
    <t>Effective Asphalt</t>
  </si>
  <si>
    <t>Asphalt Absorption</t>
  </si>
  <si>
    <t>Percent Air Voids</t>
  </si>
  <si>
    <t>Marshall Specific Gravity</t>
  </si>
  <si>
    <t>Maximum Density</t>
  </si>
  <si>
    <t>Stability, Lbs</t>
  </si>
  <si>
    <t>Flow, in/100</t>
  </si>
  <si>
    <t>VMA</t>
  </si>
  <si>
    <t>VFA</t>
  </si>
  <si>
    <t>MS-2 Method</t>
  </si>
  <si>
    <t>Dust to Asphalt Ratio</t>
  </si>
  <si>
    <t>Tensile Strength Ratio (AASHTO T283)</t>
  </si>
  <si>
    <t>Uncondition, psi</t>
  </si>
  <si>
    <t>Conditioned, psi</t>
  </si>
  <si>
    <t>Retained Strength, %</t>
  </si>
  <si>
    <t>Source</t>
  </si>
  <si>
    <t>Type</t>
  </si>
  <si>
    <t>Traffic Category</t>
  </si>
  <si>
    <t>Test Property</t>
  </si>
  <si>
    <t>Flow, 0.01 IN</t>
  </si>
  <si>
    <t>Percent Total Air Voids</t>
  </si>
  <si>
    <t>Percent Air Voids Villed with Asphalt</t>
  </si>
  <si>
    <t>Minimum Voids filled in Mineral Aggregate -%</t>
  </si>
  <si>
    <r>
      <t xml:space="preserve">Traffic Index (TI) </t>
    </r>
    <r>
      <rPr>
        <sz val="11"/>
        <color theme="1"/>
        <rFont val="Calibri"/>
        <family val="2"/>
      </rPr>
      <t>≥7.0</t>
    </r>
  </si>
  <si>
    <r>
      <t>Traffic Index (TI) &lt;</t>
    </r>
    <r>
      <rPr>
        <sz val="11"/>
        <color theme="1"/>
        <rFont val="Calibri"/>
        <family val="2"/>
      </rPr>
      <t>7.0</t>
    </r>
  </si>
  <si>
    <t>MIN</t>
  </si>
  <si>
    <t>MAX</t>
  </si>
  <si>
    <t>----</t>
  </si>
  <si>
    <t>-----</t>
  </si>
  <si>
    <t>Proposed Spec Range</t>
  </si>
  <si>
    <r>
      <t>MIXING TEMPERATURE, F</t>
    </r>
    <r>
      <rPr>
        <vertAlign val="superscript"/>
        <sz val="10"/>
        <color theme="1"/>
        <rFont val="Calibri"/>
        <family val="2"/>
        <scheme val="minor"/>
      </rPr>
      <t>0</t>
    </r>
  </si>
  <si>
    <r>
      <t>COMPACTION TEMPERATURE, F</t>
    </r>
    <r>
      <rPr>
        <vertAlign val="superscript"/>
        <sz val="9"/>
        <color theme="1"/>
        <rFont val="Calibri"/>
        <family val="2"/>
        <scheme val="minor"/>
      </rPr>
      <t>0</t>
    </r>
    <r>
      <rPr>
        <sz val="9"/>
        <color theme="1"/>
        <rFont val="Calibri"/>
        <family val="2"/>
        <scheme val="minor"/>
      </rPr>
      <t xml:space="preserve"> </t>
    </r>
  </si>
  <si>
    <t>Optimum Asphalt Content By Total Weight of Aggregates %</t>
  </si>
  <si>
    <t>Laboratory Compacted Unit Weight (Marshall)</t>
  </si>
  <si>
    <t>Theoretical Maximum Unit Weight (Rice)</t>
  </si>
  <si>
    <t>Marshal Stability, Lbs</t>
  </si>
  <si>
    <t>Marshall Flow, 0.01 in</t>
  </si>
  <si>
    <t>Percent Air Voids in Mineral Aggregate (VMA)</t>
  </si>
  <si>
    <t>Percent Air Voids in Filler Aggregate (VFA) MS-2 Method</t>
  </si>
  <si>
    <t>Percent Air Voids Filled with Asphalt (VFA) USACE Method</t>
  </si>
  <si>
    <t>Surface Area (Sq. Ft/Lbs.)</t>
  </si>
  <si>
    <t>Indirect Tensile Strength, Unconditioned, psi</t>
  </si>
  <si>
    <t>Properties at Optimum Asphalt Content</t>
  </si>
  <si>
    <t>13 min</t>
  </si>
  <si>
    <t>33 max</t>
  </si>
  <si>
    <t>7.5 Min</t>
  </si>
  <si>
    <t>65 PSI Min</t>
  </si>
  <si>
    <t>70% Min</t>
  </si>
  <si>
    <t>Film Thickness in Microns</t>
  </si>
  <si>
    <t>Air Voids %</t>
  </si>
  <si>
    <t>Load (Lbs)</t>
  </si>
  <si>
    <t>Aggregate Properties</t>
  </si>
  <si>
    <t>Bin Percentages</t>
  </si>
  <si>
    <t>+ #8</t>
  </si>
  <si>
    <t>Bulk Specific Gravity</t>
  </si>
  <si>
    <t>SSD Specific Gravity</t>
  </si>
  <si>
    <t>Apparent SP. Gravity</t>
  </si>
  <si>
    <t>Absorption</t>
  </si>
  <si>
    <t>-8</t>
  </si>
  <si>
    <t>-200</t>
  </si>
  <si>
    <t>Combined Totals</t>
  </si>
  <si>
    <t>Fractured Faces (NV T230 - One Face)</t>
  </si>
  <si>
    <t>Fractured Faces (NV T230 - Two Face)</t>
  </si>
  <si>
    <t>Liquid Limit ASTM C131</t>
  </si>
  <si>
    <t>Plasticity Index (ASTM D4318)</t>
  </si>
  <si>
    <t>Methylene Blue (AASTO TP57)</t>
  </si>
  <si>
    <t>Fine Agg Angularity  (AASHTO T304)</t>
  </si>
  <si>
    <t>Flat and Elongated (ASTM D4791)</t>
  </si>
  <si>
    <t>Soundness Test (ASTM C88)</t>
  </si>
  <si>
    <t>Deleterious Materials (ASTM C142)</t>
  </si>
  <si>
    <t>Sand Equivelant (ASTM D2419)</t>
  </si>
  <si>
    <t>Strippping Test (ASTM D1664)</t>
  </si>
  <si>
    <t>%</t>
  </si>
  <si>
    <t>BIN Agg Type</t>
  </si>
  <si>
    <t>Bin Number</t>
  </si>
  <si>
    <t>Coarse Sand</t>
  </si>
  <si>
    <t>Crusher Fines</t>
  </si>
  <si>
    <t>CCPW Standard Specifications Section 705, TC1</t>
  </si>
  <si>
    <t>35 Max</t>
  </si>
  <si>
    <t>6 Max</t>
  </si>
  <si>
    <t>10 Max</t>
  </si>
  <si>
    <t>0.3 Max</t>
  </si>
  <si>
    <t>Satisfactory</t>
  </si>
  <si>
    <t>LA Abrasion (ASTM C131)</t>
  </si>
  <si>
    <t>Actual</t>
  </si>
  <si>
    <t>Combined total (passing)</t>
  </si>
  <si>
    <t>Man Sand</t>
  </si>
  <si>
    <t>CCPW Standard Specification Section 401</t>
  </si>
  <si>
    <t>Rut Depth, MM - 20,000 Cycles in Air @76 deg C</t>
  </si>
  <si>
    <t>Rut Depth, MM - 8,000 Cycles in Air @76 deg C</t>
  </si>
  <si>
    <t>45 MIN</t>
  </si>
  <si>
    <t>Compaction Blows Each End of  Specimen</t>
  </si>
  <si>
    <t>Supplier_ID</t>
  </si>
  <si>
    <t>ID</t>
  </si>
  <si>
    <t>Mix_ID</t>
  </si>
  <si>
    <t>Max Aggregate</t>
  </si>
  <si>
    <t>Binder</t>
  </si>
  <si>
    <t>Marshall Blows</t>
  </si>
  <si>
    <t>!6</t>
  </si>
  <si>
    <t>#100</t>
  </si>
  <si>
    <t>Recycled Concrete%</t>
  </si>
  <si>
    <t>Recycled AC%</t>
  </si>
  <si>
    <t>% Oil</t>
  </si>
  <si>
    <t>Air Voids</t>
  </si>
  <si>
    <t>Stability</t>
  </si>
  <si>
    <t>Flow</t>
  </si>
  <si>
    <t>RAP Source</t>
  </si>
  <si>
    <t>RCA Source</t>
  </si>
  <si>
    <t>Anti Strip</t>
  </si>
  <si>
    <t>Asphalt Cement Grade</t>
  </si>
  <si>
    <t>Asphalt Cement Supplier</t>
  </si>
  <si>
    <t>Mixing Temperature (F)</t>
  </si>
  <si>
    <t>Compaction Temperature (F)</t>
  </si>
  <si>
    <t>COH</t>
  </si>
  <si>
    <t>CCPW</t>
  </si>
  <si>
    <t>CNLV</t>
  </si>
  <si>
    <t>CLV</t>
  </si>
  <si>
    <t>Submission Date</t>
  </si>
  <si>
    <t>COURSE,  FINE, UTACS</t>
  </si>
  <si>
    <t>Approved</t>
  </si>
  <si>
    <t>Expiration Date</t>
  </si>
  <si>
    <t>UTACS TYPE</t>
  </si>
  <si>
    <t>MAX AGG SIZE</t>
  </si>
  <si>
    <t xml:space="preserve">Coarse Agg </t>
  </si>
  <si>
    <t>Fine Agg Source</t>
  </si>
  <si>
    <t>(From Composite Gradation Chart)</t>
  </si>
  <si>
    <t>Gradation Volume</t>
  </si>
  <si>
    <t>Pan</t>
  </si>
  <si>
    <t>Optimum Asphalt Content By Dry Weight of Aggregate, %</t>
  </si>
  <si>
    <t>Total Sample Size</t>
  </si>
  <si>
    <t>3/4in</t>
  </si>
  <si>
    <t>1/2in</t>
  </si>
  <si>
    <t>3/8in</t>
  </si>
  <si>
    <t>3/4</t>
  </si>
  <si>
    <t>Target Control</t>
  </si>
  <si>
    <t>1/2</t>
  </si>
  <si>
    <t>3/8</t>
  </si>
  <si>
    <t>sieve</t>
  </si>
  <si>
    <t>Project Desc</t>
  </si>
  <si>
    <t>Supplier</t>
  </si>
  <si>
    <t>MIX TYPE</t>
  </si>
  <si>
    <t>ISSA Type Gradation</t>
  </si>
  <si>
    <t>1In</t>
  </si>
  <si>
    <t>Mix Year</t>
  </si>
  <si>
    <t>1in Min</t>
  </si>
  <si>
    <t>1in Max</t>
  </si>
  <si>
    <t>3/4in min</t>
  </si>
  <si>
    <t>3/4in Max</t>
  </si>
  <si>
    <t>1/2in Min</t>
  </si>
  <si>
    <t>1/2in Max</t>
  </si>
  <si>
    <t>3/8 Min</t>
  </si>
  <si>
    <t>3/8 Max</t>
  </si>
  <si>
    <t>No 4 Min</t>
  </si>
  <si>
    <t>No 4 Max</t>
  </si>
  <si>
    <t>No 8 Min</t>
  </si>
  <si>
    <t>No 8 Max</t>
  </si>
  <si>
    <t>#16  MIN1</t>
  </si>
  <si>
    <t>#16 MAX1</t>
  </si>
  <si>
    <t>#30 MIN1</t>
  </si>
  <si>
    <t>#30 MAX1</t>
  </si>
  <si>
    <t>#50 MIN1</t>
  </si>
  <si>
    <t>#50 MAX1</t>
  </si>
  <si>
    <t>#200 MIN1</t>
  </si>
  <si>
    <t>No 200 Max</t>
  </si>
  <si>
    <t>200 OVERIDE</t>
  </si>
  <si>
    <t>OIL Perc</t>
  </si>
  <si>
    <t>Rice (LBS/SF)</t>
  </si>
  <si>
    <t>Plant</t>
  </si>
  <si>
    <t>Temp (F)</t>
  </si>
  <si>
    <t>Stability (Min)</t>
  </si>
  <si>
    <t>Oil Type</t>
  </si>
  <si>
    <t>IQAC Member</t>
  </si>
  <si>
    <t>INDIRECT TENSILE (PSI)</t>
  </si>
  <si>
    <t>Binder Type</t>
  </si>
  <si>
    <t>Binder Source</t>
  </si>
  <si>
    <t>INDERIECT TENSILE (TSR%)</t>
  </si>
  <si>
    <t>AIR VOIDS</t>
  </si>
  <si>
    <t>DUST TO BINDER RATIO</t>
  </si>
  <si>
    <t>FILM THICKNESS</t>
  </si>
  <si>
    <t>VFA (MS-2)</t>
  </si>
  <si>
    <t>Remarks</t>
  </si>
  <si>
    <t>Qualified Until</t>
  </si>
  <si>
    <t>UPDATED DATE</t>
  </si>
  <si>
    <t>ADMIXTURE</t>
  </si>
  <si>
    <t>RECYCLED</t>
  </si>
  <si>
    <t>ADMIX</t>
  </si>
  <si>
    <t>(DESIGNED)</t>
  </si>
  <si>
    <t>IQAC MEMBER</t>
  </si>
  <si>
    <t>1356V4A45</t>
  </si>
  <si>
    <t>(MIX DESIGNATION)</t>
  </si>
  <si>
    <t xml:space="preserve">702-455-6060 </t>
  </si>
  <si>
    <t>other</t>
  </si>
  <si>
    <t>2 COURSE</t>
  </si>
  <si>
    <t>Indirect Tensile Strength, Unretained Strength %</t>
  </si>
  <si>
    <t>Calc'ed</t>
  </si>
  <si>
    <t>Film Thickness, Microns</t>
  </si>
  <si>
    <t>Optimum Film Thickness</t>
  </si>
  <si>
    <t>Effective Specific Gravity Agg</t>
  </si>
  <si>
    <t>Unit Weight</t>
  </si>
  <si>
    <t>12.5mm</t>
  </si>
  <si>
    <t>9.5mm</t>
  </si>
  <si>
    <t>2.36mm</t>
  </si>
  <si>
    <t>2.00mm</t>
  </si>
  <si>
    <t>1.18mm</t>
  </si>
  <si>
    <t>600 um</t>
  </si>
  <si>
    <t>425 um</t>
  </si>
  <si>
    <t>300 um</t>
  </si>
  <si>
    <t>150 um</t>
  </si>
  <si>
    <t>75 um</t>
  </si>
  <si>
    <t>No 10</t>
  </si>
  <si>
    <t>No 16</t>
  </si>
  <si>
    <t>No 30</t>
  </si>
  <si>
    <t>No 40</t>
  </si>
  <si>
    <t>No 50</t>
  </si>
  <si>
    <t>No 100</t>
  </si>
  <si>
    <t>No 200</t>
  </si>
  <si>
    <t>No 4</t>
  </si>
  <si>
    <t>No 8</t>
  </si>
  <si>
    <t>2-Fine</t>
  </si>
  <si>
    <t>2-Course</t>
  </si>
  <si>
    <t>Type 3</t>
  </si>
  <si>
    <t>Utacs S1</t>
  </si>
  <si>
    <t>Utacs S2</t>
  </si>
  <si>
    <t>Utacs S3</t>
  </si>
  <si>
    <t>Clark County Aggregate Gradation Specification (verify with RTC Specification)</t>
  </si>
  <si>
    <t>1B</t>
  </si>
  <si>
    <t>1C</t>
  </si>
  <si>
    <t>1A</t>
  </si>
  <si>
    <t>2B</t>
  </si>
  <si>
    <t>2C</t>
  </si>
  <si>
    <t>3A</t>
  </si>
  <si>
    <t>3B</t>
  </si>
  <si>
    <t>3C</t>
  </si>
  <si>
    <t>4A</t>
  </si>
  <si>
    <t>4B</t>
  </si>
  <si>
    <t>4C</t>
  </si>
  <si>
    <t>5A</t>
  </si>
  <si>
    <t>5B</t>
  </si>
  <si>
    <t>5C</t>
  </si>
  <si>
    <t>1 AVE</t>
  </si>
  <si>
    <t>2 AVE</t>
  </si>
  <si>
    <t>3 AVE</t>
  </si>
  <si>
    <t>4 AVE</t>
  </si>
  <si>
    <t>5 AVE</t>
  </si>
  <si>
    <t>6A</t>
  </si>
  <si>
    <t>6B</t>
  </si>
  <si>
    <t>6C</t>
  </si>
  <si>
    <t>6 AVE</t>
  </si>
  <si>
    <t>RAP STOCKPILE 1</t>
  </si>
  <si>
    <t>Recycled Asphalt Binder Source</t>
  </si>
  <si>
    <t>Total =</t>
  </si>
  <si>
    <t>Sieve Size (mm)</t>
  </si>
  <si>
    <t>1/4 x Dust</t>
  </si>
  <si>
    <t>Curtner Sand</t>
  </si>
  <si>
    <t>Combined Blend</t>
  </si>
  <si>
    <t>Specs</t>
  </si>
  <si>
    <t>JMF</t>
  </si>
  <si>
    <t>90-100</t>
  </si>
  <si>
    <t>91-100</t>
  </si>
  <si>
    <t>72-87</t>
  </si>
  <si>
    <t>74-88</t>
  </si>
  <si>
    <t>60-75</t>
  </si>
  <si>
    <t>60-74</t>
  </si>
  <si>
    <t>40-55</t>
  </si>
  <si>
    <t>40-54</t>
  </si>
  <si>
    <t>27-41</t>
  </si>
  <si>
    <t>22-34</t>
  </si>
  <si>
    <t>17-30</t>
  </si>
  <si>
    <t>14-26</t>
  </si>
  <si>
    <t>10-23</t>
  </si>
  <si>
    <t>11-21</t>
  </si>
  <si>
    <t>7-19</t>
  </si>
  <si>
    <t>7-18</t>
  </si>
  <si>
    <t>6-16</t>
  </si>
  <si>
    <t>4-10</t>
  </si>
  <si>
    <t>3-7</t>
  </si>
  <si>
    <t>0.6-6.6</t>
  </si>
  <si>
    <t>AGGREGATE QUALITY DATA</t>
  </si>
  <si>
    <t>COARSE AGG.</t>
  </si>
  <si>
    <t>RESULT</t>
  </si>
  <si>
    <t>SPEC</t>
  </si>
  <si>
    <t>FINE AGG.</t>
  </si>
  <si>
    <t>% CRUSH (ASTM D693)</t>
  </si>
  <si>
    <t>SAND EQUIVALENT</t>
  </si>
  <si>
    <t>% WITH 1 C. FACE</t>
  </si>
  <si>
    <t>95 MIN</t>
  </si>
  <si>
    <t>ASTM D2419</t>
  </si>
  <si>
    <t>45 MIN.</t>
  </si>
  <si>
    <t>% WITH 2 C. FACES</t>
  </si>
  <si>
    <t>80 MIN</t>
  </si>
  <si>
    <t>LIQUID LIMIT</t>
  </si>
  <si>
    <t>L.A.R. (ASTM C131)</t>
  </si>
  <si>
    <t>(ASTM D4318)</t>
  </si>
  <si>
    <t>NP</t>
  </si>
  <si>
    <t>25 MAX</t>
  </si>
  <si>
    <t>LOSS @ 500 REV</t>
  </si>
  <si>
    <t>40 MAX</t>
  </si>
  <si>
    <t>PLASTICITY INDEX</t>
  </si>
  <si>
    <t>% FLAT AND ELONGATED</t>
  </si>
  <si>
    <t>6 MAX</t>
  </si>
  <si>
    <t>(ASTM 4791)</t>
  </si>
  <si>
    <t>8 MAX</t>
  </si>
  <si>
    <t>SPECIFIC GRAVITY &amp;</t>
  </si>
  <si>
    <t>NA</t>
  </si>
  <si>
    <t>SODIUM SOUNDNESS</t>
  </si>
  <si>
    <t>% ABSORB. ASTM C127</t>
  </si>
  <si>
    <t>% LOSS (ASTM C88)</t>
  </si>
  <si>
    <t>10 MAX</t>
  </si>
  <si>
    <t>COMBINED BLEND</t>
  </si>
  <si>
    <t>SPECIFIC GRAVITY AND</t>
  </si>
  <si>
    <t>Calculated By</t>
  </si>
  <si>
    <t>Date</t>
  </si>
  <si>
    <t>Reviewed By:</t>
  </si>
  <si>
    <t>Date:</t>
  </si>
  <si>
    <t>Moisture Content</t>
  </si>
  <si>
    <t>&lt;5% for coarse, &lt;3% for fine 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</si>
</sst>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\ &quot;mm&quot;"/>
    <numFmt numFmtId="165" formatCode="0.000\ &quot;mm&quot;"/>
    <numFmt numFmtId="166" formatCode="0.000"/>
    <numFmt numFmtId="167" formatCode="0.0"/>
    <numFmt numFmtId="168" formatCode="0.0\ &quot;mm&quot;"/>
    <numFmt numFmtId="169" formatCode="0&quot;-in&quot;"/>
    <numFmt numFmtId="170" formatCode="0.0%"/>
    <numFmt numFmtId="171" formatCode="0\°\F"/>
  </numFmts>
  <fonts count="2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7.5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0"/>
      <color rgb="FF333333"/>
      <name val="Verdana"/>
      <family val="2"/>
    </font>
    <font>
      <sz val="12"/>
      <color rgb="FF212529"/>
      <name val="Segoe UI"/>
      <family val="2"/>
    </font>
    <font>
      <b/>
      <sz val="11"/>
      <color rgb="FF000000"/>
      <name val="Calibri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EF7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526">
    <xf numFmtId="0" fontId="0" fillId="0" borderId="0" xfId="0"/>
    <xf numFmtId="0" fontId="2" fillId="0" borderId="0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 vertical="center" wrapText="1"/>
    </xf>
    <xf numFmtId="16" fontId="2" fillId="0" borderId="0" xfId="0" quotePrefix="1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/>
    <xf numFmtId="0" fontId="9" fillId="0" borderId="0" xfId="0" applyFont="1"/>
    <xf numFmtId="0" fontId="2" fillId="0" borderId="14" xfId="0" applyFont="1" applyFill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4" xfId="0" applyBorder="1"/>
    <xf numFmtId="0" fontId="2" fillId="0" borderId="14" xfId="0" applyFont="1" applyFill="1" applyBorder="1"/>
    <xf numFmtId="0" fontId="0" fillId="0" borderId="0" xfId="0" applyFill="1"/>
    <xf numFmtId="0" fontId="0" fillId="0" borderId="0" xfId="0" applyAlignment="1">
      <alignment horizontal="center" vertical="center"/>
    </xf>
    <xf numFmtId="0" fontId="9" fillId="0" borderId="14" xfId="0" applyFont="1" applyBorder="1"/>
    <xf numFmtId="49" fontId="9" fillId="0" borderId="14" xfId="0" applyNumberFormat="1" applyFont="1" applyBorder="1"/>
    <xf numFmtId="0" fontId="9" fillId="0" borderId="14" xfId="0" applyFont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14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16" fontId="9" fillId="0" borderId="14" xfId="0" quotePrefix="1" applyNumberFormat="1" applyFont="1" applyBorder="1" applyAlignment="1">
      <alignment horizontal="center"/>
    </xf>
    <xf numFmtId="0" fontId="9" fillId="0" borderId="14" xfId="0" quotePrefix="1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3" fillId="6" borderId="14" xfId="0" applyFont="1" applyFill="1" applyBorder="1" applyAlignment="1">
      <alignment horizontal="center" vertical="center"/>
    </xf>
    <xf numFmtId="1" fontId="0" fillId="0" borderId="0" xfId="0" applyNumberFormat="1"/>
    <xf numFmtId="0" fontId="0" fillId="7" borderId="0" xfId="0" applyFill="1"/>
    <xf numFmtId="0" fontId="9" fillId="7" borderId="0" xfId="0" applyFont="1" applyFill="1"/>
    <xf numFmtId="0" fontId="0" fillId="0" borderId="14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9" fillId="8" borderId="14" xfId="0" quotePrefix="1" applyFont="1" applyFill="1" applyBorder="1" applyAlignment="1">
      <alignment horizontal="center"/>
    </xf>
    <xf numFmtId="0" fontId="9" fillId="8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16" fontId="14" fillId="0" borderId="14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9" xfId="0" applyBorder="1"/>
    <xf numFmtId="0" fontId="0" fillId="2" borderId="14" xfId="0" applyFill="1" applyBorder="1" applyAlignment="1">
      <alignment horizontal="center" vertical="center" wrapText="1"/>
    </xf>
    <xf numFmtId="0" fontId="9" fillId="5" borderId="24" xfId="0" quotePrefix="1" applyFont="1" applyFill="1" applyBorder="1"/>
    <xf numFmtId="0" fontId="0" fillId="5" borderId="14" xfId="0" applyFill="1" applyBorder="1" applyAlignment="1">
      <alignment wrapText="1"/>
    </xf>
    <xf numFmtId="0" fontId="9" fillId="0" borderId="31" xfId="0" applyFont="1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0" borderId="14" xfId="0" quotePrefix="1" applyBorder="1"/>
    <xf numFmtId="0" fontId="0" fillId="0" borderId="19" xfId="0" quotePrefix="1" applyBorder="1"/>
    <xf numFmtId="0" fontId="13" fillId="6" borderId="48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/>
    </xf>
    <xf numFmtId="167" fontId="9" fillId="0" borderId="14" xfId="1" applyNumberFormat="1" applyFont="1" applyBorder="1" applyAlignment="1">
      <alignment horizontal="center"/>
    </xf>
    <xf numFmtId="0" fontId="0" fillId="0" borderId="14" xfId="0" applyFill="1" applyBorder="1"/>
    <xf numFmtId="0" fontId="0" fillId="0" borderId="14" xfId="0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1" fillId="0" borderId="0" xfId="0" applyFont="1"/>
    <xf numFmtId="2" fontId="22" fillId="0" borderId="0" xfId="0" applyNumberFormat="1" applyFont="1"/>
    <xf numFmtId="0" fontId="0" fillId="0" borderId="12" xfId="0" applyFill="1" applyBorder="1" applyAlignment="1">
      <alignment horizontal="center"/>
    </xf>
    <xf numFmtId="0" fontId="23" fillId="6" borderId="14" xfId="0" applyFont="1" applyFill="1" applyBorder="1" applyAlignment="1">
      <alignment horizontal="center" vertical="center"/>
    </xf>
    <xf numFmtId="0" fontId="0" fillId="3" borderId="14" xfId="0" applyFill="1" applyBorder="1"/>
    <xf numFmtId="0" fontId="9" fillId="3" borderId="14" xfId="0" applyFont="1" applyFill="1" applyBorder="1"/>
    <xf numFmtId="1" fontId="0" fillId="3" borderId="14" xfId="0" applyNumberFormat="1" applyFill="1" applyBorder="1"/>
    <xf numFmtId="0" fontId="0" fillId="3" borderId="14" xfId="0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0" borderId="14" xfId="0" applyNumberFormat="1" applyFill="1" applyBorder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9" fontId="0" fillId="0" borderId="22" xfId="1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5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9" fontId="0" fillId="0" borderId="21" xfId="0" applyNumberFormat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0" borderId="14" xfId="0" applyNumberForma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4" xfId="0" quotePrefix="1" applyNumberFormat="1" applyFill="1" applyBorder="1" applyAlignment="1">
      <alignment horizontal="center"/>
    </xf>
    <xf numFmtId="0" fontId="0" fillId="0" borderId="14" xfId="0" quotePrefix="1" applyBorder="1" applyAlignment="1">
      <alignment horizontal="center"/>
    </xf>
    <xf numFmtId="0" fontId="9" fillId="5" borderId="24" xfId="0" applyFont="1" applyFill="1" applyBorder="1" applyAlignment="1">
      <alignment horizontal="center"/>
    </xf>
    <xf numFmtId="0" fontId="9" fillId="5" borderId="35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166" fontId="0" fillId="10" borderId="14" xfId="0" applyNumberFormat="1" applyFill="1" applyBorder="1"/>
    <xf numFmtId="2" fontId="0" fillId="10" borderId="14" xfId="0" applyNumberFormat="1" applyFill="1" applyBorder="1"/>
    <xf numFmtId="166" fontId="0" fillId="10" borderId="19" xfId="0" applyNumberFormat="1" applyFill="1" applyBorder="1" applyAlignment="1">
      <alignment horizontal="center"/>
    </xf>
    <xf numFmtId="0" fontId="9" fillId="10" borderId="16" xfId="0" applyFont="1" applyFill="1" applyBorder="1"/>
    <xf numFmtId="0" fontId="9" fillId="10" borderId="14" xfId="0" applyFont="1" applyFill="1" applyBorder="1"/>
    <xf numFmtId="0" fontId="9" fillId="10" borderId="25" xfId="0" applyFont="1" applyFill="1" applyBorder="1"/>
    <xf numFmtId="0" fontId="9" fillId="10" borderId="21" xfId="0" applyFont="1" applyFill="1" applyBorder="1"/>
    <xf numFmtId="0" fontId="9" fillId="10" borderId="16" xfId="0" applyFont="1" applyFill="1" applyBorder="1" applyAlignment="1">
      <alignment horizontal="center"/>
    </xf>
    <xf numFmtId="0" fontId="9" fillId="10" borderId="17" xfId="0" applyFont="1" applyFill="1" applyBorder="1"/>
    <xf numFmtId="0" fontId="9" fillId="10" borderId="14" xfId="0" applyFont="1" applyFill="1" applyBorder="1" applyAlignment="1">
      <alignment horizontal="center"/>
    </xf>
    <xf numFmtId="0" fontId="9" fillId="10" borderId="19" xfId="0" applyFont="1" applyFill="1" applyBorder="1"/>
    <xf numFmtId="0" fontId="9" fillId="10" borderId="34" xfId="0" applyFont="1" applyFill="1" applyBorder="1"/>
    <xf numFmtId="0" fontId="9" fillId="10" borderId="21" xfId="0" applyFont="1" applyFill="1" applyBorder="1" applyAlignment="1">
      <alignment horizontal="center"/>
    </xf>
    <xf numFmtId="0" fontId="9" fillId="10" borderId="22" xfId="0" applyFont="1" applyFill="1" applyBorder="1"/>
    <xf numFmtId="169" fontId="9" fillId="10" borderId="15" xfId="0" applyNumberFormat="1" applyFont="1" applyFill="1" applyBorder="1" applyAlignment="1">
      <alignment horizontal="left"/>
    </xf>
    <xf numFmtId="164" fontId="9" fillId="10" borderId="16" xfId="0" applyNumberFormat="1" applyFont="1" applyFill="1" applyBorder="1"/>
    <xf numFmtId="169" fontId="9" fillId="10" borderId="18" xfId="0" quotePrefix="1" applyNumberFormat="1" applyFont="1" applyFill="1" applyBorder="1" applyAlignment="1">
      <alignment horizontal="left"/>
    </xf>
    <xf numFmtId="164" fontId="9" fillId="10" borderId="14" xfId="0" applyNumberFormat="1" applyFont="1" applyFill="1" applyBorder="1"/>
    <xf numFmtId="0" fontId="9" fillId="10" borderId="18" xfId="0" applyFont="1" applyFill="1" applyBorder="1" applyAlignment="1">
      <alignment horizontal="left"/>
    </xf>
    <xf numFmtId="0" fontId="9" fillId="10" borderId="28" xfId="0" applyFont="1" applyFill="1" applyBorder="1" applyAlignment="1">
      <alignment horizontal="left"/>
    </xf>
    <xf numFmtId="164" fontId="9" fillId="10" borderId="25" xfId="0" applyNumberFormat="1" applyFont="1" applyFill="1" applyBorder="1"/>
    <xf numFmtId="0" fontId="9" fillId="10" borderId="20" xfId="0" applyFont="1" applyFill="1" applyBorder="1" applyAlignment="1">
      <alignment horizontal="left"/>
    </xf>
    <xf numFmtId="165" fontId="9" fillId="10" borderId="21" xfId="0" applyNumberFormat="1" applyFont="1" applyFill="1" applyBorder="1"/>
    <xf numFmtId="0" fontId="9" fillId="0" borderId="16" xfId="0" applyFont="1" applyFill="1" applyBorder="1"/>
    <xf numFmtId="0" fontId="9" fillId="0" borderId="14" xfId="0" applyFont="1" applyFill="1" applyBorder="1"/>
    <xf numFmtId="0" fontId="9" fillId="0" borderId="25" xfId="0" applyFont="1" applyFill="1" applyBorder="1"/>
    <xf numFmtId="0" fontId="9" fillId="0" borderId="21" xfId="0" applyFont="1" applyFill="1" applyBorder="1"/>
    <xf numFmtId="0" fontId="9" fillId="9" borderId="16" xfId="0" applyFont="1" applyFill="1" applyBorder="1" applyAlignment="1">
      <alignment horizontal="center" wrapText="1"/>
    </xf>
    <xf numFmtId="0" fontId="9" fillId="9" borderId="24" xfId="0" applyFont="1" applyFill="1" applyBorder="1" applyAlignment="1">
      <alignment horizontal="center" wrapText="1"/>
    </xf>
    <xf numFmtId="0" fontId="9" fillId="9" borderId="14" xfId="0" applyFont="1" applyFill="1" applyBorder="1" applyAlignment="1">
      <alignment horizontal="center" wrapText="1"/>
    </xf>
    <xf numFmtId="0" fontId="14" fillId="9" borderId="14" xfId="0" applyFont="1" applyFill="1" applyBorder="1" applyAlignment="1">
      <alignment horizontal="center"/>
    </xf>
    <xf numFmtId="0" fontId="14" fillId="9" borderId="14" xfId="0" applyFont="1" applyFill="1" applyBorder="1" applyAlignment="1">
      <alignment horizontal="center" wrapText="1"/>
    </xf>
    <xf numFmtId="9" fontId="9" fillId="9" borderId="21" xfId="1" applyFont="1" applyFill="1" applyBorder="1" applyAlignment="1">
      <alignment horizontal="center"/>
    </xf>
    <xf numFmtId="9" fontId="9" fillId="9" borderId="22" xfId="1" applyFont="1" applyFill="1" applyBorder="1" applyAlignment="1">
      <alignment horizontal="center"/>
    </xf>
    <xf numFmtId="9" fontId="2" fillId="10" borderId="14" xfId="0" applyNumberFormat="1" applyFont="1" applyFill="1" applyBorder="1" applyAlignment="1"/>
    <xf numFmtId="0" fontId="2" fillId="10" borderId="14" xfId="0" applyFont="1" applyFill="1" applyBorder="1"/>
    <xf numFmtId="0" fontId="2" fillId="10" borderId="14" xfId="0" applyFont="1" applyFill="1" applyBorder="1" applyAlignment="1">
      <alignment horizontal="center"/>
    </xf>
    <xf numFmtId="0" fontId="2" fillId="10" borderId="14" xfId="0" applyNumberFormat="1" applyFont="1" applyFill="1" applyBorder="1" applyAlignment="1">
      <alignment horizontal="center"/>
    </xf>
    <xf numFmtId="0" fontId="2" fillId="9" borderId="16" xfId="0" applyFont="1" applyFill="1" applyBorder="1" applyAlignment="1">
      <alignment horizontal="center" wrapText="1"/>
    </xf>
    <xf numFmtId="0" fontId="0" fillId="9" borderId="14" xfId="0" applyFill="1" applyBorder="1" applyAlignment="1">
      <alignment horizontal="center" wrapText="1"/>
    </xf>
    <xf numFmtId="0" fontId="0" fillId="9" borderId="14" xfId="0" applyFill="1" applyBorder="1" applyAlignment="1">
      <alignment horizontal="center"/>
    </xf>
    <xf numFmtId="0" fontId="2" fillId="0" borderId="0" xfId="0" applyFont="1" applyFill="1" applyAlignment="1"/>
    <xf numFmtId="0" fontId="0" fillId="11" borderId="0" xfId="0" applyFill="1"/>
    <xf numFmtId="0" fontId="2" fillId="0" borderId="16" xfId="0" applyFont="1" applyFill="1" applyBorder="1" applyAlignment="1">
      <alignment vertical="center" wrapText="1"/>
    </xf>
    <xf numFmtId="0" fontId="2" fillId="9" borderId="17" xfId="0" applyFont="1" applyFill="1" applyBorder="1" applyAlignment="1">
      <alignment vertical="center" wrapText="1"/>
    </xf>
    <xf numFmtId="0" fontId="2" fillId="9" borderId="19" xfId="0" applyFont="1" applyFill="1" applyBorder="1"/>
    <xf numFmtId="0" fontId="2" fillId="0" borderId="21" xfId="0" applyFont="1" applyFill="1" applyBorder="1"/>
    <xf numFmtId="16" fontId="2" fillId="9" borderId="22" xfId="0" quotePrefix="1" applyNumberFormat="1" applyFont="1" applyFill="1" applyBorder="1"/>
    <xf numFmtId="0" fontId="0" fillId="9" borderId="10" xfId="0" applyFill="1" applyBorder="1" applyAlignment="1">
      <alignment horizontal="center" wrapText="1"/>
    </xf>
    <xf numFmtId="0" fontId="9" fillId="0" borderId="12" xfId="0" applyFont="1" applyFill="1" applyBorder="1" applyAlignment="1">
      <alignment horizontal="center" wrapText="1"/>
    </xf>
    <xf numFmtId="0" fontId="0" fillId="0" borderId="13" xfId="0" applyFill="1" applyBorder="1" applyAlignment="1">
      <alignment horizontal="center"/>
    </xf>
    <xf numFmtId="9" fontId="2" fillId="10" borderId="19" xfId="0" applyNumberFormat="1" applyFont="1" applyFill="1" applyBorder="1" applyAlignment="1">
      <alignment horizontal="center"/>
    </xf>
    <xf numFmtId="0" fontId="9" fillId="10" borderId="19" xfId="0" applyFont="1" applyFill="1" applyBorder="1" applyAlignment="1">
      <alignment horizontal="center"/>
    </xf>
    <xf numFmtId="0" fontId="9" fillId="10" borderId="2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10" borderId="18" xfId="0" applyFont="1" applyFill="1" applyBorder="1"/>
    <xf numFmtId="16" fontId="2" fillId="10" borderId="18" xfId="0" applyNumberFormat="1" applyFont="1" applyFill="1" applyBorder="1"/>
    <xf numFmtId="0" fontId="2" fillId="0" borderId="4" xfId="0" applyFont="1" applyBorder="1"/>
    <xf numFmtId="0" fontId="2" fillId="0" borderId="0" xfId="0" applyFont="1" applyBorder="1"/>
    <xf numFmtId="16" fontId="2" fillId="2" borderId="7" xfId="0" quotePrefix="1" applyNumberFormat="1" applyFont="1" applyFill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2" fillId="3" borderId="14" xfId="0" applyFont="1" applyFill="1" applyBorder="1" applyAlignment="1"/>
    <xf numFmtId="0" fontId="2" fillId="10" borderId="14" xfId="0" applyFont="1" applyFill="1" applyBorder="1" applyAlignment="1"/>
    <xf numFmtId="0" fontId="0" fillId="11" borderId="11" xfId="0" applyFill="1" applyBorder="1" applyAlignment="1">
      <alignment horizontal="center"/>
    </xf>
    <xf numFmtId="9" fontId="0" fillId="10" borderId="19" xfId="0" applyNumberFormat="1" applyFill="1" applyBorder="1" applyAlignment="1">
      <alignment horizontal="center"/>
    </xf>
    <xf numFmtId="9" fontId="0" fillId="3" borderId="19" xfId="0" applyNumberFormat="1" applyFill="1" applyBorder="1" applyAlignment="1">
      <alignment horizontal="center"/>
    </xf>
    <xf numFmtId="0" fontId="2" fillId="3" borderId="21" xfId="0" applyFont="1" applyFill="1" applyBorder="1" applyAlignment="1"/>
    <xf numFmtId="9" fontId="0" fillId="3" borderId="22" xfId="0" applyNumberFormat="1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29" xfId="0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4" borderId="41" xfId="0" applyFill="1" applyBorder="1" applyAlignment="1">
      <alignment horizontal="center"/>
    </xf>
    <xf numFmtId="0" fontId="0" fillId="12" borderId="0" xfId="0" applyFill="1" applyBorder="1" applyAlignment="1">
      <alignment horizontal="center" wrapText="1"/>
    </xf>
    <xf numFmtId="0" fontId="0" fillId="12" borderId="61" xfId="0" applyFill="1" applyBorder="1" applyAlignment="1">
      <alignment horizontal="center" wrapText="1"/>
    </xf>
    <xf numFmtId="0" fontId="0" fillId="12" borderId="16" xfId="0" applyFill="1" applyBorder="1" applyAlignment="1">
      <alignment horizontal="center"/>
    </xf>
    <xf numFmtId="0" fontId="0" fillId="12" borderId="17" xfId="0" applyFill="1" applyBorder="1" applyAlignment="1">
      <alignment horizontal="center"/>
    </xf>
    <xf numFmtId="0" fontId="0" fillId="12" borderId="14" xfId="0" applyFill="1" applyBorder="1" applyAlignment="1">
      <alignment horizontal="center"/>
    </xf>
    <xf numFmtId="0" fontId="0" fillId="12" borderId="19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0" fillId="9" borderId="19" xfId="0" applyFill="1" applyBorder="1"/>
    <xf numFmtId="0" fontId="0" fillId="9" borderId="23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7" fontId="0" fillId="0" borderId="14" xfId="0" applyNumberFormat="1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9" fontId="0" fillId="0" borderId="0" xfId="1" applyFont="1"/>
    <xf numFmtId="0" fontId="0" fillId="0" borderId="0" xfId="0" quotePrefix="1"/>
    <xf numFmtId="167" fontId="0" fillId="0" borderId="25" xfId="0" applyNumberFormat="1" applyFill="1" applyBorder="1" applyAlignment="1">
      <alignment horizontal="center"/>
    </xf>
    <xf numFmtId="170" fontId="0" fillId="12" borderId="29" xfId="1" applyNumberFormat="1" applyFont="1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170" fontId="0" fillId="12" borderId="32" xfId="1" applyNumberFormat="1" applyFont="1" applyFill="1" applyBorder="1" applyAlignment="1"/>
    <xf numFmtId="0" fontId="0" fillId="0" borderId="42" xfId="0" applyFill="1" applyBorder="1" applyAlignment="1"/>
    <xf numFmtId="0" fontId="0" fillId="9" borderId="16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0" fillId="4" borderId="14" xfId="0" applyFill="1" applyBorder="1" applyAlignment="1"/>
    <xf numFmtId="0" fontId="0" fillId="4" borderId="21" xfId="0" applyFill="1" applyBorder="1" applyAlignment="1"/>
    <xf numFmtId="0" fontId="0" fillId="0" borderId="39" xfId="0" applyBorder="1" applyAlignment="1"/>
    <xf numFmtId="0" fontId="0" fillId="0" borderId="36" xfId="0" applyBorder="1" applyAlignment="1"/>
    <xf numFmtId="0" fontId="0" fillId="4" borderId="29" xfId="0" applyFill="1" applyBorder="1" applyAlignment="1"/>
    <xf numFmtId="0" fontId="0" fillId="4" borderId="32" xfId="0" applyFill="1" applyBorder="1" applyAlignment="1"/>
    <xf numFmtId="0" fontId="0" fillId="4" borderId="41" xfId="0" applyFill="1" applyBorder="1" applyAlignment="1"/>
    <xf numFmtId="0" fontId="0" fillId="4" borderId="42" xfId="0" applyFill="1" applyBorder="1" applyAlignment="1"/>
    <xf numFmtId="170" fontId="0" fillId="0" borderId="16" xfId="0" applyNumberFormat="1" applyFill="1" applyBorder="1" applyAlignment="1"/>
    <xf numFmtId="0" fontId="0" fillId="0" borderId="43" xfId="0" applyFill="1" applyBorder="1" applyAlignment="1">
      <alignment horizontal="center"/>
    </xf>
    <xf numFmtId="0" fontId="0" fillId="0" borderId="35" xfId="0" applyNumberFormat="1" applyFill="1" applyBorder="1" applyAlignment="1"/>
    <xf numFmtId="0" fontId="24" fillId="0" borderId="70" xfId="0" applyFont="1" applyBorder="1"/>
    <xf numFmtId="0" fontId="24" fillId="0" borderId="73" xfId="0" applyFont="1" applyBorder="1"/>
    <xf numFmtId="0" fontId="24" fillId="0" borderId="37" xfId="0" applyFont="1" applyBorder="1"/>
    <xf numFmtId="0" fontId="24" fillId="0" borderId="0" xfId="0" applyFont="1"/>
    <xf numFmtId="0" fontId="24" fillId="0" borderId="53" xfId="0" applyFont="1" applyBorder="1"/>
    <xf numFmtId="0" fontId="24" fillId="0" borderId="61" xfId="0" applyFont="1" applyBorder="1"/>
    <xf numFmtId="0" fontId="24" fillId="0" borderId="31" xfId="0" applyFont="1" applyBorder="1" applyAlignment="1">
      <alignment horizontal="centerContinuous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73" xfId="0" applyFont="1" applyBorder="1" applyAlignment="1">
      <alignment horizontal="right" vertical="center"/>
    </xf>
    <xf numFmtId="0" fontId="24" fillId="0" borderId="32" xfId="0" applyFont="1" applyBorder="1" applyAlignment="1">
      <alignment horizontal="left" vertical="center"/>
    </xf>
    <xf numFmtId="0" fontId="24" fillId="13" borderId="32" xfId="0" applyFont="1" applyFill="1" applyBorder="1" applyAlignment="1">
      <alignment vertical="center"/>
    </xf>
    <xf numFmtId="0" fontId="24" fillId="0" borderId="5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4" xfId="0" quotePrefix="1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67" fontId="24" fillId="0" borderId="14" xfId="0" applyNumberFormat="1" applyFont="1" applyBorder="1" applyAlignment="1">
      <alignment horizontal="center"/>
    </xf>
    <xf numFmtId="1" fontId="24" fillId="0" borderId="14" xfId="0" applyNumberFormat="1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0" borderId="14" xfId="0" quotePrefix="1" applyFont="1" applyBorder="1" applyAlignment="1">
      <alignment horizontal="center"/>
    </xf>
    <xf numFmtId="166" fontId="24" fillId="0" borderId="14" xfId="0" applyNumberFormat="1" applyFont="1" applyBorder="1" applyAlignment="1">
      <alignment horizontal="center"/>
    </xf>
    <xf numFmtId="16" fontId="24" fillId="0" borderId="14" xfId="0" quotePrefix="1" applyNumberFormat="1" applyFont="1" applyBorder="1" applyAlignment="1">
      <alignment horizontal="center"/>
    </xf>
    <xf numFmtId="0" fontId="25" fillId="0" borderId="53" xfId="0" applyFont="1" applyBorder="1" applyAlignment="1">
      <alignment horizontal="centerContinuous"/>
    </xf>
    <xf numFmtId="0" fontId="25" fillId="0" borderId="0" xfId="0" applyFont="1" applyAlignment="1">
      <alignment horizontal="centerContinuous"/>
    </xf>
    <xf numFmtId="0" fontId="25" fillId="0" borderId="61" xfId="0" applyFont="1" applyBorder="1" applyAlignment="1">
      <alignment horizontal="centerContinuous"/>
    </xf>
    <xf numFmtId="0" fontId="24" fillId="0" borderId="31" xfId="0" applyFont="1" applyBorder="1" applyAlignment="1">
      <alignment horizontal="centerContinuous"/>
    </xf>
    <xf numFmtId="0" fontId="24" fillId="0" borderId="32" xfId="0" applyFont="1" applyBorder="1" applyAlignment="1">
      <alignment horizontal="centerContinuous"/>
    </xf>
    <xf numFmtId="0" fontId="24" fillId="0" borderId="25" xfId="0" applyFont="1" applyBorder="1"/>
    <xf numFmtId="0" fontId="24" fillId="13" borderId="31" xfId="0" applyFont="1" applyFill="1" applyBorder="1" applyAlignment="1">
      <alignment horizontal="center"/>
    </xf>
    <xf numFmtId="0" fontId="24" fillId="13" borderId="32" xfId="0" applyFont="1" applyFill="1" applyBorder="1" applyAlignment="1">
      <alignment horizontal="center"/>
    </xf>
    <xf numFmtId="0" fontId="24" fillId="0" borderId="48" xfId="0" applyFont="1" applyBorder="1" applyAlignment="1">
      <alignment horizontal="centerContinuous"/>
    </xf>
    <xf numFmtId="0" fontId="24" fillId="0" borderId="32" xfId="0" applyFont="1" applyBorder="1" applyAlignment="1">
      <alignment horizontal="center"/>
    </xf>
    <xf numFmtId="0" fontId="24" fillId="0" borderId="35" xfId="0" applyFont="1" applyBorder="1"/>
    <xf numFmtId="0" fontId="24" fillId="0" borderId="60" xfId="0" applyFont="1" applyBorder="1"/>
    <xf numFmtId="0" fontId="24" fillId="0" borderId="53" xfId="0" applyFont="1" applyBorder="1" applyAlignment="1">
      <alignment horizontal="centerContinuous"/>
    </xf>
    <xf numFmtId="0" fontId="24" fillId="0" borderId="61" xfId="0" applyFont="1" applyBorder="1" applyAlignment="1">
      <alignment horizontal="centerContinuous"/>
    </xf>
    <xf numFmtId="0" fontId="24" fillId="13" borderId="29" xfId="0" applyFont="1" applyFill="1" applyBorder="1" applyAlignment="1">
      <alignment horizontal="center"/>
    </xf>
    <xf numFmtId="0" fontId="24" fillId="0" borderId="35" xfId="0" applyFont="1" applyBorder="1" applyAlignment="1">
      <alignment horizontal="centerContinuous"/>
    </xf>
    <xf numFmtId="0" fontId="24" fillId="0" borderId="60" xfId="0" applyFont="1" applyBorder="1" applyAlignment="1">
      <alignment horizontal="centerContinuous"/>
    </xf>
    <xf numFmtId="167" fontId="24" fillId="0" borderId="32" xfId="0" applyNumberFormat="1" applyFont="1" applyBorder="1" applyAlignment="1">
      <alignment horizontal="center"/>
    </xf>
    <xf numFmtId="0" fontId="24" fillId="0" borderId="70" xfId="0" applyFont="1" applyBorder="1" applyAlignment="1">
      <alignment horizontal="centerContinuous"/>
    </xf>
    <xf numFmtId="0" fontId="24" fillId="0" borderId="37" xfId="0" applyFont="1" applyBorder="1" applyAlignment="1">
      <alignment horizontal="centerContinuous"/>
    </xf>
    <xf numFmtId="0" fontId="24" fillId="0" borderId="25" xfId="0" applyFont="1" applyBorder="1" applyAlignment="1">
      <alignment horizontal="left"/>
    </xf>
    <xf numFmtId="0" fontId="0" fillId="0" borderId="60" xfId="0" applyBorder="1"/>
    <xf numFmtId="10" fontId="0" fillId="0" borderId="14" xfId="0" applyNumberFormat="1" applyBorder="1" applyAlignment="1">
      <alignment horizontal="center"/>
    </xf>
    <xf numFmtId="170" fontId="0" fillId="0" borderId="14" xfId="0" applyNumberFormat="1" applyBorder="1" applyAlignment="1">
      <alignment horizontal="center"/>
    </xf>
    <xf numFmtId="0" fontId="0" fillId="0" borderId="73" xfId="0" applyBorder="1"/>
    <xf numFmtId="170" fontId="0" fillId="0" borderId="73" xfId="0" applyNumberFormat="1" applyBorder="1" applyAlignment="1">
      <alignment horizontal="center"/>
    </xf>
    <xf numFmtId="0" fontId="0" fillId="0" borderId="73" xfId="0" applyBorder="1" applyAlignment="1">
      <alignment horizontal="center"/>
    </xf>
    <xf numFmtId="170" fontId="0" fillId="0" borderId="0" xfId="0" applyNumberFormat="1" applyAlignment="1">
      <alignment horizontal="center"/>
    </xf>
    <xf numFmtId="0" fontId="24" fillId="0" borderId="27" xfId="0" applyFont="1" applyBorder="1" applyAlignment="1">
      <alignment horizontal="left"/>
    </xf>
    <xf numFmtId="0" fontId="24" fillId="0" borderId="27" xfId="0" applyFont="1" applyBorder="1" applyAlignment="1">
      <alignment horizontal="centerContinuous"/>
    </xf>
    <xf numFmtId="0" fontId="24" fillId="0" borderId="27" xfId="0" applyFont="1" applyBorder="1"/>
    <xf numFmtId="0" fontId="24" fillId="0" borderId="0" xfId="0" applyFont="1" applyAlignment="1">
      <alignment horizontal="centerContinuous"/>
    </xf>
    <xf numFmtId="0" fontId="25" fillId="0" borderId="70" xfId="0" applyFont="1" applyBorder="1" applyAlignment="1">
      <alignment horizontal="centerContinuous" vertical="center"/>
    </xf>
    <xf numFmtId="0" fontId="25" fillId="0" borderId="73" xfId="0" applyFont="1" applyBorder="1" applyAlignment="1">
      <alignment horizontal="centerContinuous" vertical="center"/>
    </xf>
    <xf numFmtId="0" fontId="25" fillId="0" borderId="37" xfId="0" applyFont="1" applyBorder="1" applyAlignment="1">
      <alignment horizontal="centerContinuous" vertical="center"/>
    </xf>
    <xf numFmtId="0" fontId="26" fillId="0" borderId="70" xfId="0" applyFont="1" applyBorder="1"/>
    <xf numFmtId="0" fontId="26" fillId="0" borderId="37" xfId="0" applyFont="1" applyBorder="1"/>
    <xf numFmtId="0" fontId="25" fillId="0" borderId="53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61" xfId="0" applyFont="1" applyBorder="1" applyAlignment="1">
      <alignment horizontal="centerContinuous" vertical="center"/>
    </xf>
    <xf numFmtId="0" fontId="26" fillId="0" borderId="53" xfId="0" applyFont="1" applyBorder="1" applyAlignment="1">
      <alignment horizontal="centerContinuous"/>
    </xf>
    <xf numFmtId="0" fontId="24" fillId="0" borderId="31" xfId="0" applyFont="1" applyBorder="1" applyAlignment="1">
      <alignment horizontal="left" vertical="center"/>
    </xf>
    <xf numFmtId="0" fontId="24" fillId="0" borderId="29" xfId="0" applyFont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9" borderId="20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15" fillId="9" borderId="6" xfId="0" applyFont="1" applyFill="1" applyBorder="1" applyAlignment="1">
      <alignment horizontal="center"/>
    </xf>
    <xf numFmtId="0" fontId="15" fillId="9" borderId="7" xfId="0" applyFont="1" applyFill="1" applyBorder="1" applyAlignment="1">
      <alignment horizontal="center"/>
    </xf>
    <xf numFmtId="0" fontId="15" fillId="9" borderId="8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1" fillId="0" borderId="7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 wrapText="1"/>
    </xf>
    <xf numFmtId="0" fontId="5" fillId="9" borderId="0" xfId="0" applyFont="1" applyFill="1" applyAlignment="1">
      <alignment horizontal="right"/>
    </xf>
    <xf numFmtId="0" fontId="2" fillId="9" borderId="2" xfId="0" applyFont="1" applyFill="1" applyBorder="1" applyAlignment="1">
      <alignment horizontal="right"/>
    </xf>
    <xf numFmtId="0" fontId="2" fillId="10" borderId="18" xfId="0" applyFont="1" applyFill="1" applyBorder="1" applyAlignment="1">
      <alignment horizontal="center"/>
    </xf>
    <xf numFmtId="0" fontId="2" fillId="10" borderId="14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 wrapText="1"/>
    </xf>
    <xf numFmtId="0" fontId="2" fillId="9" borderId="0" xfId="0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center" wrapText="1"/>
    </xf>
    <xf numFmtId="0" fontId="2" fillId="0" borderId="33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3" borderId="66" xfId="0" applyFont="1" applyFill="1" applyBorder="1" applyAlignment="1">
      <alignment horizontal="center"/>
    </xf>
    <xf numFmtId="0" fontId="2" fillId="3" borderId="67" xfId="0" applyFont="1" applyFill="1" applyBorder="1" applyAlignment="1">
      <alignment horizontal="center"/>
    </xf>
    <xf numFmtId="0" fontId="2" fillId="3" borderId="68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9" borderId="0" xfId="0" applyFont="1" applyFill="1" applyAlignment="1">
      <alignment horizontal="right" indent="1"/>
    </xf>
    <xf numFmtId="0" fontId="8" fillId="0" borderId="0" xfId="0" applyFont="1" applyFill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/>
    </xf>
    <xf numFmtId="0" fontId="2" fillId="9" borderId="14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 wrapText="1"/>
    </xf>
    <xf numFmtId="0" fontId="9" fillId="9" borderId="2" xfId="0" applyFont="1" applyFill="1" applyBorder="1" applyAlignment="1">
      <alignment horizontal="center" wrapText="1"/>
    </xf>
    <xf numFmtId="0" fontId="9" fillId="9" borderId="4" xfId="0" applyFont="1" applyFill="1" applyBorder="1" applyAlignment="1">
      <alignment horizontal="center" wrapText="1"/>
    </xf>
    <xf numFmtId="0" fontId="9" fillId="9" borderId="0" xfId="0" applyFont="1" applyFill="1" applyBorder="1" applyAlignment="1">
      <alignment horizont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wrapText="1"/>
    </xf>
    <xf numFmtId="0" fontId="2" fillId="9" borderId="16" xfId="0" applyFont="1" applyFill="1" applyBorder="1" applyAlignment="1">
      <alignment horizontal="center" wrapText="1"/>
    </xf>
    <xf numFmtId="0" fontId="2" fillId="9" borderId="4" xfId="0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0" fontId="15" fillId="9" borderId="4" xfId="0" applyFont="1" applyFill="1" applyBorder="1" applyAlignment="1">
      <alignment horizontal="center" wrapText="1"/>
    </xf>
    <xf numFmtId="0" fontId="15" fillId="9" borderId="0" xfId="0" applyFont="1" applyFill="1" applyBorder="1" applyAlignment="1">
      <alignment horizontal="center" wrapText="1"/>
    </xf>
    <xf numFmtId="0" fontId="15" fillId="9" borderId="5" xfId="0" applyFont="1" applyFill="1" applyBorder="1" applyAlignment="1">
      <alignment horizontal="center" wrapText="1"/>
    </xf>
    <xf numFmtId="0" fontId="0" fillId="4" borderId="25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10" borderId="58" xfId="0" applyFill="1" applyBorder="1" applyAlignment="1">
      <alignment horizontal="center"/>
    </xf>
    <xf numFmtId="0" fontId="0" fillId="10" borderId="37" xfId="0" applyFill="1" applyBorder="1" applyAlignment="1">
      <alignment horizontal="center"/>
    </xf>
    <xf numFmtId="0" fontId="0" fillId="10" borderId="59" xfId="0" applyFill="1" applyBorder="1" applyAlignment="1">
      <alignment horizontal="center"/>
    </xf>
    <xf numFmtId="0" fontId="0" fillId="10" borderId="6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3" xfId="0" applyBorder="1" applyAlignment="1">
      <alignment horizontal="left"/>
    </xf>
    <xf numFmtId="0" fontId="0" fillId="0" borderId="0" xfId="0" applyAlignment="1">
      <alignment horizontal="left"/>
    </xf>
    <xf numFmtId="0" fontId="9" fillId="9" borderId="17" xfId="0" applyFont="1" applyFill="1" applyBorder="1" applyAlignment="1">
      <alignment horizontal="center" wrapText="1"/>
    </xf>
    <xf numFmtId="0" fontId="9" fillId="9" borderId="23" xfId="0" applyFont="1" applyFill="1" applyBorder="1" applyAlignment="1">
      <alignment horizontal="center" wrapText="1"/>
    </xf>
    <xf numFmtId="0" fontId="9" fillId="9" borderId="19" xfId="0" applyFont="1" applyFill="1" applyBorder="1" applyAlignment="1">
      <alignment horizontal="center" wrapText="1"/>
    </xf>
    <xf numFmtId="0" fontId="9" fillId="9" borderId="63" xfId="0" applyFont="1" applyFill="1" applyBorder="1" applyAlignment="1">
      <alignment horizontal="center" wrapText="1"/>
    </xf>
    <xf numFmtId="0" fontId="9" fillId="9" borderId="64" xfId="0" applyFont="1" applyFill="1" applyBorder="1" applyAlignment="1">
      <alignment horizontal="center" wrapText="1"/>
    </xf>
    <xf numFmtId="49" fontId="9" fillId="9" borderId="50" xfId="0" applyNumberFormat="1" applyFont="1" applyFill="1" applyBorder="1" applyAlignment="1">
      <alignment horizontal="center" wrapText="1"/>
    </xf>
    <xf numFmtId="49" fontId="9" fillId="9" borderId="49" xfId="0" applyNumberFormat="1" applyFont="1" applyFill="1" applyBorder="1" applyAlignment="1">
      <alignment horizontal="center" wrapText="1"/>
    </xf>
    <xf numFmtId="0" fontId="0" fillId="0" borderId="29" xfId="0" applyBorder="1" applyAlignment="1">
      <alignment horizontal="center"/>
    </xf>
    <xf numFmtId="0" fontId="0" fillId="0" borderId="32" xfId="0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0" fontId="9" fillId="9" borderId="61" xfId="0" applyFont="1" applyFill="1" applyBorder="1" applyAlignment="1">
      <alignment horizontal="center" wrapText="1"/>
    </xf>
    <xf numFmtId="0" fontId="9" fillId="9" borderId="51" xfId="0" applyFont="1" applyFill="1" applyBorder="1" applyAlignment="1">
      <alignment horizontal="center" wrapText="1"/>
    </xf>
    <xf numFmtId="0" fontId="9" fillId="10" borderId="55" xfId="0" applyFont="1" applyFill="1" applyBorder="1" applyAlignment="1">
      <alignment horizontal="center" wrapText="1"/>
    </xf>
    <xf numFmtId="0" fontId="9" fillId="10" borderId="32" xfId="0" applyFont="1" applyFill="1" applyBorder="1" applyAlignment="1">
      <alignment horizontal="center" wrapText="1"/>
    </xf>
    <xf numFmtId="0" fontId="9" fillId="10" borderId="57" xfId="0" applyFont="1" applyFill="1" applyBorder="1" applyAlignment="1">
      <alignment horizontal="center" wrapText="1"/>
    </xf>
    <xf numFmtId="0" fontId="9" fillId="10" borderId="42" xfId="0" applyFont="1" applyFill="1" applyBorder="1" applyAlignment="1">
      <alignment horizontal="center" wrapText="1"/>
    </xf>
    <xf numFmtId="0" fontId="0" fillId="9" borderId="55" xfId="0" applyFill="1" applyBorder="1" applyAlignment="1">
      <alignment horizontal="center" wrapText="1"/>
    </xf>
    <xf numFmtId="0" fontId="0" fillId="9" borderId="29" xfId="0" applyFill="1" applyBorder="1" applyAlignment="1">
      <alignment horizontal="center" wrapText="1"/>
    </xf>
    <xf numFmtId="0" fontId="0" fillId="9" borderId="56" xfId="0" applyFill="1" applyBorder="1" applyAlignment="1">
      <alignment horizontal="center" wrapText="1"/>
    </xf>
    <xf numFmtId="0" fontId="9" fillId="10" borderId="58" xfId="0" applyFont="1" applyFill="1" applyBorder="1" applyAlignment="1">
      <alignment horizontal="center" wrapText="1"/>
    </xf>
    <xf numFmtId="0" fontId="9" fillId="10" borderId="37" xfId="0" applyFont="1" applyFill="1" applyBorder="1" applyAlignment="1">
      <alignment horizontal="center" wrapText="1"/>
    </xf>
    <xf numFmtId="0" fontId="9" fillId="10" borderId="59" xfId="0" applyFont="1" applyFill="1" applyBorder="1" applyAlignment="1">
      <alignment horizontal="center" wrapText="1"/>
    </xf>
    <xf numFmtId="0" fontId="9" fillId="10" borderId="60" xfId="0" applyFont="1" applyFill="1" applyBorder="1" applyAlignment="1">
      <alignment horizontal="center" wrapText="1"/>
    </xf>
    <xf numFmtId="0" fontId="9" fillId="0" borderId="25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0" fontId="9" fillId="10" borderId="34" xfId="0" applyFont="1" applyFill="1" applyBorder="1" applyAlignment="1">
      <alignment horizontal="center"/>
    </xf>
    <xf numFmtId="0" fontId="9" fillId="10" borderId="23" xfId="0" applyFont="1" applyFill="1" applyBorder="1" applyAlignment="1">
      <alignment horizontal="center"/>
    </xf>
    <xf numFmtId="0" fontId="0" fillId="10" borderId="55" xfId="0" applyFill="1" applyBorder="1" applyAlignment="1">
      <alignment horizontal="center"/>
    </xf>
    <xf numFmtId="0" fontId="0" fillId="10" borderId="32" xfId="0" applyFill="1" applyBorder="1" applyAlignment="1">
      <alignment horizontal="center"/>
    </xf>
    <xf numFmtId="166" fontId="0" fillId="10" borderId="34" xfId="0" applyNumberFormat="1" applyFill="1" applyBorder="1" applyAlignment="1">
      <alignment horizontal="center"/>
    </xf>
    <xf numFmtId="166" fontId="0" fillId="10" borderId="23" xfId="0" applyNumberFormat="1" applyFill="1" applyBorder="1" applyAlignment="1">
      <alignment horizontal="center"/>
    </xf>
    <xf numFmtId="0" fontId="9" fillId="9" borderId="62" xfId="0" applyFont="1" applyFill="1" applyBorder="1" applyAlignment="1">
      <alignment horizontal="center" wrapText="1"/>
    </xf>
    <xf numFmtId="0" fontId="9" fillId="9" borderId="36" xfId="0" applyFont="1" applyFill="1" applyBorder="1" applyAlignment="1">
      <alignment horizontal="center" wrapText="1"/>
    </xf>
    <xf numFmtId="0" fontId="9" fillId="9" borderId="55" xfId="0" applyFont="1" applyFill="1" applyBorder="1" applyAlignment="1">
      <alignment horizontal="center"/>
    </xf>
    <xf numFmtId="0" fontId="9" fillId="9" borderId="32" xfId="0" applyFont="1" applyFill="1" applyBorder="1" applyAlignment="1">
      <alignment horizontal="center"/>
    </xf>
    <xf numFmtId="0" fontId="9" fillId="9" borderId="57" xfId="0" applyFont="1" applyFill="1" applyBorder="1" applyAlignment="1">
      <alignment horizontal="center"/>
    </xf>
    <xf numFmtId="0" fontId="9" fillId="9" borderId="42" xfId="0" applyFont="1" applyFill="1" applyBorder="1" applyAlignment="1">
      <alignment horizontal="center"/>
    </xf>
    <xf numFmtId="0" fontId="0" fillId="9" borderId="55" xfId="0" applyFill="1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42" xfId="0" applyBorder="1" applyAlignment="1">
      <alignment horizontal="center"/>
    </xf>
    <xf numFmtId="0" fontId="2" fillId="9" borderId="62" xfId="0" applyFont="1" applyFill="1" applyBorder="1" applyAlignment="1">
      <alignment horizontal="center"/>
    </xf>
    <xf numFmtId="0" fontId="2" fillId="9" borderId="36" xfId="0" applyFont="1" applyFill="1" applyBorder="1" applyAlignment="1">
      <alignment horizontal="center"/>
    </xf>
    <xf numFmtId="0" fontId="0" fillId="9" borderId="44" xfId="0" applyFill="1" applyBorder="1" applyAlignment="1">
      <alignment horizontal="center"/>
    </xf>
    <xf numFmtId="0" fontId="0" fillId="9" borderId="45" xfId="0" applyFill="1" applyBorder="1" applyAlignment="1">
      <alignment horizontal="center"/>
    </xf>
    <xf numFmtId="0" fontId="0" fillId="9" borderId="46" xfId="0" applyFill="1" applyBorder="1" applyAlignment="1">
      <alignment horizontal="center"/>
    </xf>
    <xf numFmtId="0" fontId="0" fillId="9" borderId="17" xfId="0" applyFill="1" applyBorder="1" applyAlignment="1">
      <alignment horizontal="center" wrapText="1"/>
    </xf>
    <xf numFmtId="0" fontId="0" fillId="9" borderId="19" xfId="0" applyFill="1" applyBorder="1" applyAlignment="1">
      <alignment horizontal="center" wrapText="1"/>
    </xf>
    <xf numFmtId="0" fontId="11" fillId="9" borderId="43" xfId="0" quotePrefix="1" applyFont="1" applyFill="1" applyBorder="1" applyAlignment="1">
      <alignment horizontal="center"/>
    </xf>
    <xf numFmtId="0" fontId="11" fillId="9" borderId="24" xfId="0" quotePrefix="1" applyFont="1" applyFill="1" applyBorder="1" applyAlignment="1">
      <alignment horizontal="center"/>
    </xf>
    <xf numFmtId="0" fontId="11" fillId="9" borderId="23" xfId="0" quotePrefix="1" applyFont="1" applyFill="1" applyBorder="1" applyAlignment="1">
      <alignment horizontal="center"/>
    </xf>
    <xf numFmtId="0" fontId="11" fillId="9" borderId="18" xfId="0" quotePrefix="1" applyFont="1" applyFill="1" applyBorder="1" applyAlignment="1">
      <alignment horizontal="center"/>
    </xf>
    <xf numFmtId="0" fontId="11" fillId="9" borderId="14" xfId="0" quotePrefix="1" applyFont="1" applyFill="1" applyBorder="1" applyAlignment="1">
      <alignment horizontal="center"/>
    </xf>
    <xf numFmtId="0" fontId="11" fillId="9" borderId="19" xfId="0" quotePrefix="1" applyFont="1" applyFill="1" applyBorder="1" applyAlignment="1">
      <alignment horizontal="center"/>
    </xf>
    <xf numFmtId="0" fontId="0" fillId="9" borderId="33" xfId="0" applyFill="1" applyBorder="1" applyAlignment="1">
      <alignment horizontal="center"/>
    </xf>
    <xf numFmtId="0" fontId="0" fillId="9" borderId="26" xfId="0" applyFill="1" applyBorder="1" applyAlignment="1">
      <alignment horizontal="center"/>
    </xf>
    <xf numFmtId="0" fontId="0" fillId="9" borderId="55" xfId="0" applyFill="1" applyBorder="1" applyAlignment="1">
      <alignment horizontal="right"/>
    </xf>
    <xf numFmtId="0" fontId="0" fillId="9" borderId="29" xfId="0" applyFill="1" applyBorder="1" applyAlignment="1">
      <alignment horizontal="right"/>
    </xf>
    <xf numFmtId="0" fontId="0" fillId="9" borderId="32" xfId="0" applyFill="1" applyBorder="1" applyAlignment="1">
      <alignment horizontal="right"/>
    </xf>
    <xf numFmtId="0" fontId="0" fillId="12" borderId="20" xfId="0" applyFill="1" applyBorder="1" applyAlignment="1">
      <alignment horizontal="center"/>
    </xf>
    <xf numFmtId="0" fontId="0" fillId="12" borderId="21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70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12" borderId="18" xfId="0" applyFill="1" applyBorder="1" applyAlignment="1">
      <alignment horizontal="center"/>
    </xf>
    <xf numFmtId="0" fontId="0" fillId="12" borderId="14" xfId="0" applyFill="1" applyBorder="1" applyAlignment="1">
      <alignment horizontal="center"/>
    </xf>
    <xf numFmtId="0" fontId="0" fillId="12" borderId="15" xfId="0" applyFill="1" applyBorder="1" applyAlignment="1">
      <alignment horizontal="center" wrapText="1"/>
    </xf>
    <xf numFmtId="0" fontId="0" fillId="12" borderId="16" xfId="0" applyFill="1" applyBorder="1" applyAlignment="1">
      <alignment horizontal="center" wrapText="1"/>
    </xf>
    <xf numFmtId="0" fontId="0" fillId="4" borderId="21" xfId="0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4" borderId="41" xfId="0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20" fillId="9" borderId="44" xfId="0" applyFont="1" applyFill="1" applyBorder="1" applyAlignment="1">
      <alignment horizontal="center"/>
    </xf>
    <xf numFmtId="0" fontId="20" fillId="9" borderId="45" xfId="0" applyFont="1" applyFill="1" applyBorder="1" applyAlignment="1">
      <alignment horizontal="center"/>
    </xf>
    <xf numFmtId="0" fontId="20" fillId="9" borderId="69" xfId="0" applyFont="1" applyFill="1" applyBorder="1" applyAlignment="1">
      <alignment horizontal="center"/>
    </xf>
    <xf numFmtId="0" fontId="20" fillId="9" borderId="46" xfId="0" applyFont="1" applyFill="1" applyBorder="1" applyAlignment="1">
      <alignment horizontal="center"/>
    </xf>
    <xf numFmtId="0" fontId="0" fillId="9" borderId="43" xfId="0" applyFill="1" applyBorder="1" applyAlignment="1">
      <alignment horizontal="center"/>
    </xf>
    <xf numFmtId="0" fontId="0" fillId="9" borderId="24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25" xfId="0" applyFill="1" applyBorder="1" applyAlignment="1">
      <alignment horizontal="center"/>
    </xf>
    <xf numFmtId="0" fontId="0" fillId="12" borderId="15" xfId="0" applyFill="1" applyBorder="1" applyAlignment="1">
      <alignment horizontal="center"/>
    </xf>
    <xf numFmtId="0" fontId="0" fillId="12" borderId="16" xfId="0" applyFill="1" applyBorder="1" applyAlignment="1">
      <alignment horizontal="center"/>
    </xf>
    <xf numFmtId="0" fontId="0" fillId="12" borderId="28" xfId="0" applyFill="1" applyBorder="1" applyAlignment="1">
      <alignment horizontal="center"/>
    </xf>
    <xf numFmtId="0" fontId="0" fillId="12" borderId="25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9" borderId="25" xfId="0" applyFont="1" applyFill="1" applyBorder="1" applyAlignment="1">
      <alignment horizontal="center"/>
    </xf>
    <xf numFmtId="0" fontId="0" fillId="9" borderId="70" xfId="0" applyFont="1" applyFill="1" applyBorder="1" applyAlignment="1">
      <alignment horizontal="center"/>
    </xf>
    <xf numFmtId="0" fontId="0" fillId="9" borderId="34" xfId="0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12" borderId="55" xfId="0" applyFill="1" applyBorder="1" applyAlignment="1">
      <alignment horizontal="center"/>
    </xf>
    <xf numFmtId="0" fontId="0" fillId="12" borderId="32" xfId="0" applyFill="1" applyBorder="1" applyAlignment="1">
      <alignment horizontal="center"/>
    </xf>
    <xf numFmtId="170" fontId="0" fillId="12" borderId="31" xfId="1" applyNumberFormat="1" applyFont="1" applyFill="1" applyBorder="1" applyAlignment="1">
      <alignment horizontal="center"/>
    </xf>
    <xf numFmtId="170" fontId="0" fillId="12" borderId="29" xfId="1" applyNumberFormat="1" applyFont="1" applyFill="1" applyBorder="1" applyAlignment="1">
      <alignment horizontal="center"/>
    </xf>
    <xf numFmtId="170" fontId="0" fillId="12" borderId="32" xfId="1" applyNumberFormat="1" applyFont="1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4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61" xfId="0" applyFill="1" applyBorder="1" applyAlignment="1">
      <alignment horizontal="center"/>
    </xf>
    <xf numFmtId="0" fontId="0" fillId="12" borderId="31" xfId="0" applyFill="1" applyBorder="1" applyAlignment="1">
      <alignment horizontal="center" vertical="center" wrapText="1"/>
    </xf>
    <xf numFmtId="0" fontId="0" fillId="12" borderId="32" xfId="0" applyFill="1" applyBorder="1" applyAlignment="1">
      <alignment horizontal="center" vertical="center" wrapText="1"/>
    </xf>
    <xf numFmtId="0" fontId="0" fillId="0" borderId="61" xfId="0" applyBorder="1" applyAlignment="1">
      <alignment horizontal="center"/>
    </xf>
    <xf numFmtId="0" fontId="0" fillId="12" borderId="0" xfId="0" applyFill="1" applyBorder="1" applyAlignment="1">
      <alignment horizontal="center" wrapText="1"/>
    </xf>
    <xf numFmtId="0" fontId="0" fillId="12" borderId="61" xfId="0" applyFill="1" applyBorder="1" applyAlignment="1">
      <alignment horizontal="center" wrapText="1"/>
    </xf>
    <xf numFmtId="171" fontId="0" fillId="0" borderId="38" xfId="0" applyNumberFormat="1" applyFill="1" applyBorder="1" applyAlignment="1">
      <alignment horizontal="center"/>
    </xf>
    <xf numFmtId="171" fontId="0" fillId="0" borderId="39" xfId="0" applyNumberFormat="1" applyFill="1" applyBorder="1" applyAlignment="1">
      <alignment horizontal="center"/>
    </xf>
    <xf numFmtId="171" fontId="0" fillId="0" borderId="71" xfId="0" applyNumberFormat="1" applyFill="1" applyBorder="1" applyAlignment="1">
      <alignment horizontal="center"/>
    </xf>
    <xf numFmtId="0" fontId="0" fillId="9" borderId="40" xfId="0" applyFont="1" applyFill="1" applyBorder="1" applyAlignment="1">
      <alignment horizontal="center"/>
    </xf>
    <xf numFmtId="0" fontId="0" fillId="9" borderId="41" xfId="0" applyFont="1" applyFill="1" applyBorder="1" applyAlignment="1">
      <alignment horizontal="center"/>
    </xf>
    <xf numFmtId="0" fontId="0" fillId="9" borderId="72" xfId="0" applyFont="1" applyFill="1" applyBorder="1" applyAlignment="1">
      <alignment horizontal="center"/>
    </xf>
    <xf numFmtId="170" fontId="0" fillId="4" borderId="31" xfId="0" applyNumberFormat="1" applyFill="1" applyBorder="1" applyAlignment="1">
      <alignment horizontal="center"/>
    </xf>
    <xf numFmtId="170" fontId="0" fillId="4" borderId="29" xfId="0" applyNumberFormat="1" applyFill="1" applyBorder="1" applyAlignment="1">
      <alignment horizontal="center"/>
    </xf>
    <xf numFmtId="170" fontId="0" fillId="4" borderId="56" xfId="0" applyNumberFormat="1" applyFill="1" applyBorder="1" applyAlignment="1">
      <alignment horizontal="center"/>
    </xf>
    <xf numFmtId="0" fontId="0" fillId="4" borderId="72" xfId="0" applyFill="1" applyBorder="1" applyAlignment="1">
      <alignment horizontal="center"/>
    </xf>
    <xf numFmtId="170" fontId="0" fillId="4" borderId="69" xfId="1" applyNumberFormat="1" applyFont="1" applyFill="1" applyBorder="1" applyAlignment="1">
      <alignment horizontal="center"/>
    </xf>
    <xf numFmtId="170" fontId="0" fillId="4" borderId="26" xfId="1" applyNumberFormat="1" applyFont="1" applyFill="1" applyBorder="1" applyAlignment="1">
      <alignment horizontal="center"/>
    </xf>
    <xf numFmtId="170" fontId="0" fillId="4" borderId="30" xfId="1" applyNumberFormat="1" applyFont="1" applyFill="1" applyBorder="1" applyAlignment="1">
      <alignment horizontal="center"/>
    </xf>
    <xf numFmtId="0" fontId="0" fillId="3" borderId="47" xfId="0" applyFill="1" applyBorder="1" applyAlignment="1">
      <alignment horizontal="center"/>
    </xf>
    <xf numFmtId="0" fontId="0" fillId="3" borderId="43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11" fillId="7" borderId="0" xfId="0" applyFont="1" applyFill="1" applyAlignment="1">
      <alignment horizontal="center"/>
    </xf>
    <xf numFmtId="0" fontId="11" fillId="7" borderId="27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8" borderId="14" xfId="0" applyFill="1" applyBorder="1" applyAlignment="1">
      <alignment horizontal="center" wrapText="1"/>
    </xf>
    <xf numFmtId="0" fontId="2" fillId="8" borderId="31" xfId="0" applyFont="1" applyFill="1" applyBorder="1" applyAlignment="1">
      <alignment horizontal="center" wrapText="1"/>
    </xf>
    <xf numFmtId="0" fontId="2" fillId="8" borderId="29" xfId="0" applyFont="1" applyFill="1" applyBorder="1" applyAlignment="1">
      <alignment horizontal="center" wrapText="1"/>
    </xf>
    <xf numFmtId="0" fontId="2" fillId="8" borderId="32" xfId="0" applyFont="1" applyFill="1" applyBorder="1" applyAlignment="1">
      <alignment horizontal="center" wrapText="1"/>
    </xf>
    <xf numFmtId="0" fontId="11" fillId="8" borderId="14" xfId="0" applyFont="1" applyFill="1" applyBorder="1" applyAlignment="1">
      <alignment horizontal="center" wrapText="1"/>
    </xf>
    <xf numFmtId="0" fontId="14" fillId="7" borderId="0" xfId="0" applyFont="1" applyFill="1" applyBorder="1" applyAlignment="1">
      <alignment horizontal="center"/>
    </xf>
    <xf numFmtId="0" fontId="14" fillId="7" borderId="27" xfId="0" applyFont="1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9" fillId="8" borderId="14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0" fillId="0" borderId="73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60" xfId="0" applyBorder="1" applyAlignment="1">
      <alignment horizontal="center"/>
    </xf>
  </cellXfs>
  <cellStyles count="2">
    <cellStyle name="Normal" xfId="0" builtinId="0"/>
    <cellStyle name="Percent" xfId="1" builtinId="5"/>
  </cellStyles>
  <dxfs count="1">
    <dxf>
      <font>
        <b/>
        <i val="0"/>
        <color theme="0"/>
      </font>
      <fill>
        <patternFill>
          <bgColor theme="5"/>
        </patternFill>
      </fill>
    </dxf>
  </dxfs>
  <tableStyles count="0" defaultTableStyle="TableStyleMedium2" defaultPivotStyle="PivotStyleLight16"/>
  <colors>
    <mruColors>
      <color rgb="FFFEF7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Asphalt Content (Air Void)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69816272965875E-2"/>
          <c:y val="0.15782407407407409"/>
          <c:w val="0.88419685039370066"/>
          <c:h val="0.70699876057159516"/>
        </c:manualLayout>
      </c:layout>
      <c:scatterChart>
        <c:scatterStyle val="smoothMarker"/>
        <c:varyColors val="0"/>
        <c:ser>
          <c:idx val="0"/>
          <c:order val="0"/>
          <c:tx>
            <c:v>ASPHALT VS AIR VOID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4"/>
            <c:forward val="0.33000000000000007"/>
            <c:dispRSqr val="0"/>
            <c:dispEq val="0"/>
          </c:trendline>
          <c:xVal>
            <c:numRef>
              <c:f>'2 MARSHALL + OPT OIL'!$C$36:$H$36</c:f>
              <c:numCache>
                <c:formatCode>General</c:formatCode>
                <c:ptCount val="6"/>
                <c:pt idx="0">
                  <c:v>3.5000000000000004</c:v>
                </c:pt>
                <c:pt idx="1">
                  <c:v>4</c:v>
                </c:pt>
                <c:pt idx="2">
                  <c:v>4.5</c:v>
                </c:pt>
                <c:pt idx="3">
                  <c:v>5</c:v>
                </c:pt>
                <c:pt idx="4">
                  <c:v>5.5</c:v>
                </c:pt>
                <c:pt idx="5">
                  <c:v>6</c:v>
                </c:pt>
              </c:numCache>
            </c:numRef>
          </c:xVal>
          <c:yVal>
            <c:numRef>
              <c:f>'2 MARSHALL + OPT OIL'!$C$46:$H$46</c:f>
              <c:numCache>
                <c:formatCode>General</c:formatCode>
                <c:ptCount val="6"/>
                <c:pt idx="0">
                  <c:v>6.9</c:v>
                </c:pt>
                <c:pt idx="1">
                  <c:v>5.2</c:v>
                </c:pt>
                <c:pt idx="2">
                  <c:v>3.3</c:v>
                </c:pt>
                <c:pt idx="3">
                  <c:v>1.9</c:v>
                </c:pt>
                <c:pt idx="4">
                  <c:v>1.2</c:v>
                </c:pt>
                <c:pt idx="5">
                  <c:v>1.2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3AA-4845-A857-78BBA451D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7191472"/>
        <c:axId val="1787211024"/>
      </c:scatterChart>
      <c:valAx>
        <c:axId val="1787191472"/>
        <c:scaling>
          <c:orientation val="minMax"/>
          <c:min val="2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Asphalt Content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7211024"/>
        <c:crosses val="autoZero"/>
        <c:crossBetween val="midCat"/>
        <c:majorUnit val="0.2"/>
      </c:valAx>
      <c:valAx>
        <c:axId val="178721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Air Voids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7191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25" r="0.25" t="0.75" header="0.3" footer="0.3"/>
    <c:pageSetup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Asphalt Content (VMA)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664745480275134"/>
          <c:y val="0.15782407407407409"/>
          <c:w val="0.8620192495542105"/>
          <c:h val="0.67922098279381737"/>
        </c:manualLayout>
      </c:layout>
      <c:scatterChart>
        <c:scatterStyle val="smoothMarker"/>
        <c:varyColors val="0"/>
        <c:ser>
          <c:idx val="0"/>
          <c:order val="0"/>
          <c:tx>
            <c:v>ASPHALT VS VMA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 MARSHALL + OPT OIL'!$C$36:$H$36</c:f>
              <c:numCache>
                <c:formatCode>General</c:formatCode>
                <c:ptCount val="6"/>
                <c:pt idx="0">
                  <c:v>3.5000000000000004</c:v>
                </c:pt>
                <c:pt idx="1">
                  <c:v>4</c:v>
                </c:pt>
                <c:pt idx="2">
                  <c:v>4.5</c:v>
                </c:pt>
                <c:pt idx="3">
                  <c:v>5</c:v>
                </c:pt>
                <c:pt idx="4">
                  <c:v>5.5</c:v>
                </c:pt>
                <c:pt idx="5">
                  <c:v>6</c:v>
                </c:pt>
              </c:numCache>
            </c:numRef>
          </c:xVal>
          <c:yVal>
            <c:numRef>
              <c:f>'2 MARSHALL + OPT OIL'!$C$52:$H$52</c:f>
              <c:numCache>
                <c:formatCode>General</c:formatCode>
                <c:ptCount val="6"/>
                <c:pt idx="0">
                  <c:v>15.2</c:v>
                </c:pt>
                <c:pt idx="1">
                  <c:v>14.8</c:v>
                </c:pt>
                <c:pt idx="2">
                  <c:v>14.2</c:v>
                </c:pt>
                <c:pt idx="3">
                  <c:v>14.1</c:v>
                </c:pt>
                <c:pt idx="4">
                  <c:v>14.6</c:v>
                </c:pt>
                <c:pt idx="5">
                  <c:v>14.6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826-4E6F-BEDC-F7FBB48BD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7191472"/>
        <c:axId val="1787211024"/>
      </c:scatterChart>
      <c:valAx>
        <c:axId val="1787191472"/>
        <c:scaling>
          <c:orientation val="minMax"/>
          <c:min val="2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Asphalt Content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7211024"/>
        <c:crosses val="autoZero"/>
        <c:crossBetween val="midCat"/>
        <c:majorUnit val="0.2"/>
      </c:valAx>
      <c:valAx>
        <c:axId val="178721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VMA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7191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5" l="0.1" r="0.1" t="0.5" header="0.3" footer="0.0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Asphalt Content (VFA)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241271704808068E-2"/>
          <c:y val="0.15782407407407409"/>
          <c:w val="0.88419685039370066"/>
          <c:h val="0.70699876057159516"/>
        </c:manualLayout>
      </c:layout>
      <c:scatterChart>
        <c:scatterStyle val="smoothMarker"/>
        <c:varyColors val="0"/>
        <c:ser>
          <c:idx val="0"/>
          <c:order val="0"/>
          <c:tx>
            <c:v>ASPHALT VS VMA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4"/>
            <c:forward val="0.33000000000000007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 MARSHALL + OPT OIL'!$C$36:$H$36</c:f>
              <c:numCache>
                <c:formatCode>General</c:formatCode>
                <c:ptCount val="6"/>
                <c:pt idx="0">
                  <c:v>3.5000000000000004</c:v>
                </c:pt>
                <c:pt idx="1">
                  <c:v>4</c:v>
                </c:pt>
                <c:pt idx="2">
                  <c:v>4.5</c:v>
                </c:pt>
                <c:pt idx="3">
                  <c:v>5</c:v>
                </c:pt>
                <c:pt idx="4">
                  <c:v>5.5</c:v>
                </c:pt>
                <c:pt idx="5">
                  <c:v>6</c:v>
                </c:pt>
              </c:numCache>
            </c:numRef>
          </c:xVal>
          <c:yVal>
            <c:numRef>
              <c:f>'2 MARSHALL + OPT OIL'!$C$53:$H$53</c:f>
              <c:numCache>
                <c:formatCode>General</c:formatCode>
                <c:ptCount val="6"/>
                <c:pt idx="0">
                  <c:v>54.7</c:v>
                </c:pt>
                <c:pt idx="1">
                  <c:v>65</c:v>
                </c:pt>
                <c:pt idx="2">
                  <c:v>76.8</c:v>
                </c:pt>
                <c:pt idx="3">
                  <c:v>86.4</c:v>
                </c:pt>
                <c:pt idx="4">
                  <c:v>91.6</c:v>
                </c:pt>
                <c:pt idx="5">
                  <c:v>91.6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F49-4B9D-89C9-3F3810B34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7191472"/>
        <c:axId val="1787211024"/>
      </c:scatterChart>
      <c:valAx>
        <c:axId val="1787191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Asphalt Content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7211024"/>
        <c:crosses val="autoZero"/>
        <c:crossBetween val="midCat"/>
      </c:valAx>
      <c:valAx>
        <c:axId val="178721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VFA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7191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Asphalt Content (Unit Weight)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2784085577554673E-2"/>
          <c:y val="0.15782407407407409"/>
          <c:w val="0.87588264946503114"/>
          <c:h val="0.70236913094196562"/>
        </c:manualLayout>
      </c:layout>
      <c:scatterChart>
        <c:scatterStyle val="smoothMarker"/>
        <c:varyColors val="0"/>
        <c:ser>
          <c:idx val="0"/>
          <c:order val="0"/>
          <c:tx>
            <c:v>Asphlat Content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 MARSHALL + OPT OIL'!$C$36:$H$36</c:f>
              <c:numCache>
                <c:formatCode>General</c:formatCode>
                <c:ptCount val="6"/>
                <c:pt idx="0">
                  <c:v>3.5000000000000004</c:v>
                </c:pt>
                <c:pt idx="1">
                  <c:v>4</c:v>
                </c:pt>
                <c:pt idx="2">
                  <c:v>4.5</c:v>
                </c:pt>
                <c:pt idx="3">
                  <c:v>5</c:v>
                </c:pt>
                <c:pt idx="4">
                  <c:v>5.5</c:v>
                </c:pt>
                <c:pt idx="5">
                  <c:v>6</c:v>
                </c:pt>
              </c:numCache>
            </c:numRef>
          </c:xVal>
          <c:yVal>
            <c:numRef>
              <c:f>'2 MARSHALL + OPT OIL'!$C$49:$H$49</c:f>
              <c:numCache>
                <c:formatCode>General</c:formatCode>
                <c:ptCount val="6"/>
                <c:pt idx="0">
                  <c:v>163.1</c:v>
                </c:pt>
                <c:pt idx="1">
                  <c:v>161.80000000000001</c:v>
                </c:pt>
                <c:pt idx="2">
                  <c:v>160.5</c:v>
                </c:pt>
                <c:pt idx="3">
                  <c:v>159.30000000000001</c:v>
                </c:pt>
                <c:pt idx="4">
                  <c:v>158</c:v>
                </c:pt>
                <c:pt idx="5">
                  <c:v>158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CE9-4639-B3DA-A6FF6EBDA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7191472"/>
        <c:axId val="1787211024"/>
      </c:scatterChart>
      <c:valAx>
        <c:axId val="1787191472"/>
        <c:scaling>
          <c:orientation val="minMax"/>
          <c:min val="2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Asphalt Content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7211024"/>
        <c:crosses val="autoZero"/>
        <c:crossBetween val="midCat"/>
      </c:valAx>
      <c:valAx>
        <c:axId val="178721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Unit Weight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7191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Asphalt Content (Stability)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266941043227402"/>
          <c:y val="0.15782407407407409"/>
          <c:w val="0.82599732461031183"/>
          <c:h val="0.68848024205307656"/>
        </c:manualLayout>
      </c:layout>
      <c:scatterChart>
        <c:scatterStyle val="smoothMarker"/>
        <c:varyColors val="0"/>
        <c:ser>
          <c:idx val="0"/>
          <c:order val="0"/>
          <c:tx>
            <c:v>Asphlat Content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4"/>
            <c:forward val="0.33000000000000007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 MARSHALL + OPT OIL'!$C$36:$H$36</c:f>
              <c:numCache>
                <c:formatCode>General</c:formatCode>
                <c:ptCount val="6"/>
                <c:pt idx="0">
                  <c:v>3.5000000000000004</c:v>
                </c:pt>
                <c:pt idx="1">
                  <c:v>4</c:v>
                </c:pt>
                <c:pt idx="2">
                  <c:v>4.5</c:v>
                </c:pt>
                <c:pt idx="3">
                  <c:v>5</c:v>
                </c:pt>
                <c:pt idx="4">
                  <c:v>5.5</c:v>
                </c:pt>
                <c:pt idx="5">
                  <c:v>6</c:v>
                </c:pt>
              </c:numCache>
            </c:numRef>
          </c:xVal>
          <c:yVal>
            <c:numRef>
              <c:f>'2 MARSHALL + OPT OIL'!$C$50:$H$50</c:f>
              <c:numCache>
                <c:formatCode>General</c:formatCode>
                <c:ptCount val="6"/>
                <c:pt idx="0">
                  <c:v>3988</c:v>
                </c:pt>
                <c:pt idx="1">
                  <c:v>3842</c:v>
                </c:pt>
                <c:pt idx="2">
                  <c:v>3657</c:v>
                </c:pt>
                <c:pt idx="3">
                  <c:v>3513</c:v>
                </c:pt>
                <c:pt idx="4">
                  <c:v>3377</c:v>
                </c:pt>
                <c:pt idx="5">
                  <c:v>3377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7C3-4DF2-AC9E-1DB02250D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7191472"/>
        <c:axId val="1787211024"/>
      </c:scatterChart>
      <c:valAx>
        <c:axId val="1787191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Asphalt Content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7211024"/>
        <c:crosses val="autoZero"/>
        <c:crossBetween val="midCat"/>
      </c:valAx>
      <c:valAx>
        <c:axId val="1787211024"/>
        <c:scaling>
          <c:orientation val="minMax"/>
          <c:min val="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Stability,</a:t>
                </a:r>
                <a:r>
                  <a:rPr lang="en-US" baseline="0"/>
                  <a:t> lbs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7191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Asphalt Content (Flow)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33951224846894"/>
          <c:y val="0.14772289827407939"/>
          <c:w val="0.82599732461031183"/>
          <c:h val="0.68848024205307656"/>
        </c:manualLayout>
      </c:layout>
      <c:scatterChart>
        <c:scatterStyle val="smoothMarker"/>
        <c:varyColors val="0"/>
        <c:ser>
          <c:idx val="0"/>
          <c:order val="0"/>
          <c:tx>
            <c:v>ASPHALT VS DENSITY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forward val="0.33000000000000007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 MARSHALL + OPT OIL'!$C$36:$H$36</c:f>
              <c:numCache>
                <c:formatCode>General</c:formatCode>
                <c:ptCount val="6"/>
                <c:pt idx="0">
                  <c:v>3.5000000000000004</c:v>
                </c:pt>
                <c:pt idx="1">
                  <c:v>4</c:v>
                </c:pt>
                <c:pt idx="2">
                  <c:v>4.5</c:v>
                </c:pt>
                <c:pt idx="3">
                  <c:v>5</c:v>
                </c:pt>
                <c:pt idx="4">
                  <c:v>5.5</c:v>
                </c:pt>
                <c:pt idx="5">
                  <c:v>6</c:v>
                </c:pt>
              </c:numCache>
            </c:numRef>
          </c:xVal>
          <c:yVal>
            <c:numRef>
              <c:f>'2 MARSHALL + OPT OIL'!$C$51:$H$51</c:f>
              <c:numCache>
                <c:formatCode>General</c:formatCode>
                <c:ptCount val="6"/>
                <c:pt idx="0">
                  <c:v>14.4</c:v>
                </c:pt>
                <c:pt idx="1">
                  <c:v>15.1</c:v>
                </c:pt>
                <c:pt idx="2">
                  <c:v>16.3</c:v>
                </c:pt>
                <c:pt idx="3">
                  <c:v>16.899999999999999</c:v>
                </c:pt>
                <c:pt idx="4">
                  <c:v>17.399999999999999</c:v>
                </c:pt>
                <c:pt idx="5">
                  <c:v>17.399999999999999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B78-4F05-B393-C2554BE44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7191472"/>
        <c:axId val="1787211024"/>
      </c:scatterChart>
      <c:valAx>
        <c:axId val="1787191472"/>
        <c:scaling>
          <c:orientation val="minMax"/>
          <c:min val="2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Asphalt Content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7211024"/>
        <c:crosses val="autoZero"/>
        <c:crossBetween val="midCat"/>
      </c:valAx>
      <c:valAx>
        <c:axId val="1787211024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Flow, 0.01 in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7191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Asphalt Content (Film Thickness)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266941043227402"/>
          <c:y val="0.15782407407407409"/>
          <c:w val="0.82599732461031183"/>
          <c:h val="0.68848024205307656"/>
        </c:manualLayout>
      </c:layout>
      <c:lineChart>
        <c:grouping val="standard"/>
        <c:varyColors val="0"/>
        <c:ser>
          <c:idx val="1"/>
          <c:order val="1"/>
          <c:tx>
            <c:v>Optimum Film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'2 MARSHALL + OPT OIL'!$C$8:$S$8</c:f>
              <c:numCache>
                <c:formatCode>0.0%</c:formatCode>
                <c:ptCount val="17"/>
                <c:pt idx="0">
                  <c:v>3.5000000000000003E-2</c:v>
                </c:pt>
                <c:pt idx="4">
                  <c:v>0.04</c:v>
                </c:pt>
                <c:pt idx="8">
                  <c:v>4.4999999999999998E-2</c:v>
                </c:pt>
                <c:pt idx="12">
                  <c:v>0.05</c:v>
                </c:pt>
                <c:pt idx="16">
                  <c:v>5.5E-2</c:v>
                </c:pt>
              </c:numCache>
            </c:numRef>
          </c:cat>
          <c:val>
            <c:numRef>
              <c:f>'2 MARSHALL + OPT OIL'!$C$56:$H$56</c:f>
              <c:numCache>
                <c:formatCode>General</c:formatCode>
                <c:ptCount val="6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0A-419B-8B9C-382B3758F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7191472"/>
        <c:axId val="1787211024"/>
      </c:lineChart>
      <c:scatterChart>
        <c:scatterStyle val="smoothMarker"/>
        <c:varyColors val="0"/>
        <c:ser>
          <c:idx val="0"/>
          <c:order val="0"/>
          <c:tx>
            <c:v>FILM THICK VS AC PERC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4"/>
            <c:forward val="0.33000000000000007"/>
            <c:intercept val="8"/>
            <c:dispRSqr val="0"/>
            <c:dispEq val="0"/>
          </c:trendline>
          <c:xVal>
            <c:numRef>
              <c:f>'2 MARSHALL + OPT OIL'!$C$36:$H$36</c:f>
              <c:numCache>
                <c:formatCode>General</c:formatCode>
                <c:ptCount val="6"/>
                <c:pt idx="0">
                  <c:v>3.5000000000000004</c:v>
                </c:pt>
                <c:pt idx="1">
                  <c:v>4</c:v>
                </c:pt>
                <c:pt idx="2">
                  <c:v>4.5</c:v>
                </c:pt>
                <c:pt idx="3">
                  <c:v>5</c:v>
                </c:pt>
                <c:pt idx="4">
                  <c:v>5.5</c:v>
                </c:pt>
                <c:pt idx="5">
                  <c:v>6</c:v>
                </c:pt>
              </c:numCache>
            </c:numRef>
          </c:xVal>
          <c:yVal>
            <c:numRef>
              <c:f>'2 MARSHALL + OPT OIL'!$C$55:$H$55</c:f>
              <c:numCache>
                <c:formatCode>General</c:formatCode>
                <c:ptCount val="6"/>
                <c:pt idx="0">
                  <c:v>6.8</c:v>
                </c:pt>
                <c:pt idx="1">
                  <c:v>7.8</c:v>
                </c:pt>
                <c:pt idx="2">
                  <c:v>8.8000000000000007</c:v>
                </c:pt>
                <c:pt idx="3">
                  <c:v>9.8000000000000007</c:v>
                </c:pt>
                <c:pt idx="4">
                  <c:v>10.9</c:v>
                </c:pt>
                <c:pt idx="5">
                  <c:v>10.9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A0A-419B-8B9C-382B3758F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7191472"/>
        <c:axId val="1787211024"/>
      </c:scatterChart>
      <c:valAx>
        <c:axId val="1787191472"/>
        <c:scaling>
          <c:orientation val="minMax"/>
          <c:min val="2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Asphalt Content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7211024"/>
        <c:crossesAt val="0"/>
        <c:crossBetween val="midCat"/>
      </c:valAx>
      <c:valAx>
        <c:axId val="178721102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Film</a:t>
                </a:r>
                <a:r>
                  <a:rPr lang="en-US" baseline="0"/>
                  <a:t> Tickness (7 min, 11 max)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4.1337825776703162E-2"/>
              <c:y val="0.35696011956838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7191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25" r="0.25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Marshall</a:t>
            </a:r>
            <a:r>
              <a:rPr lang="en-US" baseline="0"/>
              <a:t> Stability Curve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266941043227402"/>
          <c:y val="0.15782407407407409"/>
          <c:w val="0.82599732461031183"/>
          <c:h val="0.68848024205307656"/>
        </c:manualLayout>
      </c:layout>
      <c:scatterChart>
        <c:scatterStyle val="lineMarker"/>
        <c:varyColors val="0"/>
        <c:ser>
          <c:idx val="0"/>
          <c:order val="0"/>
          <c:tx>
            <c:v>MARSHAL STABILITY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forward val="0.33000000000000007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 MARSHALL + OPT OIL'!$C$51:$H$51</c:f>
              <c:numCache>
                <c:formatCode>General</c:formatCode>
                <c:ptCount val="6"/>
                <c:pt idx="0">
                  <c:v>14.4</c:v>
                </c:pt>
                <c:pt idx="1">
                  <c:v>15.1</c:v>
                </c:pt>
                <c:pt idx="2">
                  <c:v>16.3</c:v>
                </c:pt>
                <c:pt idx="3">
                  <c:v>16.899999999999999</c:v>
                </c:pt>
                <c:pt idx="4">
                  <c:v>17.399999999999999</c:v>
                </c:pt>
                <c:pt idx="5">
                  <c:v>17.399999999999999</c:v>
                </c:pt>
              </c:numCache>
            </c:numRef>
          </c:xVal>
          <c:yVal>
            <c:numRef>
              <c:f>'2 MARSHALL + OPT OIL'!$C$50:$H$50</c:f>
              <c:numCache>
                <c:formatCode>General</c:formatCode>
                <c:ptCount val="6"/>
                <c:pt idx="0">
                  <c:v>3988</c:v>
                </c:pt>
                <c:pt idx="1">
                  <c:v>3842</c:v>
                </c:pt>
                <c:pt idx="2">
                  <c:v>3657</c:v>
                </c:pt>
                <c:pt idx="3">
                  <c:v>3513</c:v>
                </c:pt>
                <c:pt idx="4">
                  <c:v>3377</c:v>
                </c:pt>
                <c:pt idx="5">
                  <c:v>3377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A0A-49D0-B467-7C9527297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7191472"/>
        <c:axId val="1787211024"/>
      </c:scatterChart>
      <c:valAx>
        <c:axId val="1787191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Flow, in .01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7211024"/>
        <c:crosses val="autoZero"/>
        <c:crossBetween val="midCat"/>
      </c:valAx>
      <c:valAx>
        <c:axId val="1787211024"/>
        <c:scaling>
          <c:orientation val="minMax"/>
          <c:min val="1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Stability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7191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PROPOSED GRADATION</a:t>
            </a:r>
          </a:p>
        </c:rich>
      </c:tx>
      <c:layout>
        <c:manualLayout>
          <c:xMode val="edge"/>
          <c:yMode val="edge"/>
          <c:x val="0.38950892216153504"/>
          <c:y val="3.43260519854373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082812224088378E-2"/>
          <c:y val="0.12128555689888904"/>
          <c:w val="0.91797184177796565"/>
          <c:h val="0.741443781796982"/>
        </c:manualLayout>
      </c:layout>
      <c:scatterChart>
        <c:scatterStyle val="lineMarker"/>
        <c:varyColors val="0"/>
        <c:ser>
          <c:idx val="3"/>
          <c:order val="0"/>
          <c:tx>
            <c:v>PROPOSED GRADATION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diamond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[1]info!$C$3:$C$13</c:f>
              <c:numCache>
                <c:formatCode>General</c:formatCode>
                <c:ptCount val="11"/>
                <c:pt idx="0">
                  <c:v>4.2872141011063745</c:v>
                </c:pt>
                <c:pt idx="1">
                  <c:v>3.7621761023862978</c:v>
                </c:pt>
                <c:pt idx="2">
                  <c:v>3.116086507375345</c:v>
                </c:pt>
                <c:pt idx="3">
                  <c:v>2.754074108566122</c:v>
                </c:pt>
                <c:pt idx="4">
                  <c:v>2.0161002539629291</c:v>
                </c:pt>
                <c:pt idx="5">
                  <c:v>1.4716698795820382</c:v>
                </c:pt>
                <c:pt idx="6">
                  <c:v>1.0773254099250416</c:v>
                </c:pt>
                <c:pt idx="7">
                  <c:v>0.79463568224020453</c:v>
                </c:pt>
                <c:pt idx="8">
                  <c:v>0.58170736792793831</c:v>
                </c:pt>
                <c:pt idx="9">
                  <c:v>0.42583471830473674</c:v>
                </c:pt>
                <c:pt idx="10">
                  <c:v>0.31172925995349998</c:v>
                </c:pt>
              </c:numCache>
            </c:numRef>
          </c:xVal>
          <c:yVal>
            <c:numRef>
              <c:f>[1]info!$D$3:$D$13</c:f>
              <c:numCache>
                <c:formatCode>General</c:formatCode>
                <c:ptCount val="11"/>
                <c:pt idx="0">
                  <c:v>100</c:v>
                </c:pt>
                <c:pt idx="1">
                  <c:v>97.472000000000008</c:v>
                </c:pt>
                <c:pt idx="2">
                  <c:v>80.477000000000004</c:v>
                </c:pt>
                <c:pt idx="3">
                  <c:v>70.75800000000001</c:v>
                </c:pt>
                <c:pt idx="4">
                  <c:v>47.247999999999998</c:v>
                </c:pt>
                <c:pt idx="5">
                  <c:v>29.869</c:v>
                </c:pt>
                <c:pt idx="6">
                  <c:v>19.806000000000001</c:v>
                </c:pt>
                <c:pt idx="7">
                  <c:v>13.353999999999999</c:v>
                </c:pt>
                <c:pt idx="8">
                  <c:v>9.6739999999999995</c:v>
                </c:pt>
                <c:pt idx="9">
                  <c:v>6.3019999999999987</c:v>
                </c:pt>
                <c:pt idx="10">
                  <c:v>4.2149999999999999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0A1-49DE-AA8C-1425E6066236}"/>
            </c:ext>
          </c:extLst>
        </c:ser>
        <c:ser>
          <c:idx val="0"/>
          <c:order val="1"/>
          <c:tx>
            <c:v>SPECIFICATION LIMITS</c:v>
          </c:tx>
          <c:spPr>
            <a:ln w="3175">
              <a:solidFill>
                <a:srgbClr val="000000"/>
              </a:solidFill>
              <a:prstDash val="sysDash"/>
            </a:ln>
          </c:spPr>
          <c:marker>
            <c:symbol val="x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[1]info!$C$3:$C$13</c:f>
              <c:numCache>
                <c:formatCode>General</c:formatCode>
                <c:ptCount val="11"/>
                <c:pt idx="0">
                  <c:v>4.2872141011063745</c:v>
                </c:pt>
                <c:pt idx="1">
                  <c:v>3.7621761023862978</c:v>
                </c:pt>
                <c:pt idx="2">
                  <c:v>3.116086507375345</c:v>
                </c:pt>
                <c:pt idx="3">
                  <c:v>2.754074108566122</c:v>
                </c:pt>
                <c:pt idx="4">
                  <c:v>2.0161002539629291</c:v>
                </c:pt>
                <c:pt idx="5">
                  <c:v>1.4716698795820382</c:v>
                </c:pt>
                <c:pt idx="6">
                  <c:v>1.0773254099250416</c:v>
                </c:pt>
                <c:pt idx="7">
                  <c:v>0.79463568224020453</c:v>
                </c:pt>
                <c:pt idx="8">
                  <c:v>0.58170736792793831</c:v>
                </c:pt>
                <c:pt idx="9">
                  <c:v>0.42583471830473674</c:v>
                </c:pt>
                <c:pt idx="10">
                  <c:v>0.31172925995349998</c:v>
                </c:pt>
              </c:numCache>
            </c:numRef>
          </c:xVal>
          <c:yVal>
            <c:numRef>
              <c:f>[1]info!$E$3:$E$13</c:f>
              <c:numCache>
                <c:formatCode>General</c:formatCode>
                <c:ptCount val="11"/>
                <c:pt idx="0">
                  <c:v>100</c:v>
                </c:pt>
                <c:pt idx="1">
                  <c:v>90</c:v>
                </c:pt>
                <c:pt idx="2">
                  <c:v>72</c:v>
                </c:pt>
                <c:pt idx="3">
                  <c:v>60</c:v>
                </c:pt>
                <c:pt idx="4">
                  <c:v>40</c:v>
                </c:pt>
                <c:pt idx="5">
                  <c:v>27</c:v>
                </c:pt>
                <c:pt idx="6">
                  <c:v>17</c:v>
                </c:pt>
                <c:pt idx="7">
                  <c:v>10</c:v>
                </c:pt>
                <c:pt idx="8">
                  <c:v>7</c:v>
                </c:pt>
                <c:pt idx="9">
                  <c:v>6</c:v>
                </c:pt>
                <c:pt idx="10">
                  <c:v>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0A1-49DE-AA8C-1425E6066236}"/>
            </c:ext>
          </c:extLst>
        </c:ser>
        <c:ser>
          <c:idx val="1"/>
          <c:order val="2"/>
          <c:spPr>
            <a:ln w="3175">
              <a:solidFill>
                <a:srgbClr val="000000"/>
              </a:solidFill>
              <a:prstDash val="sysDash"/>
            </a:ln>
          </c:spPr>
          <c:marker>
            <c:symbol val="x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[1]info!$C$3:$C$13</c:f>
              <c:numCache>
                <c:formatCode>General</c:formatCode>
                <c:ptCount val="11"/>
                <c:pt idx="0">
                  <c:v>4.2872141011063745</c:v>
                </c:pt>
                <c:pt idx="1">
                  <c:v>3.7621761023862978</c:v>
                </c:pt>
                <c:pt idx="2">
                  <c:v>3.116086507375345</c:v>
                </c:pt>
                <c:pt idx="3">
                  <c:v>2.754074108566122</c:v>
                </c:pt>
                <c:pt idx="4">
                  <c:v>2.0161002539629291</c:v>
                </c:pt>
                <c:pt idx="5">
                  <c:v>1.4716698795820382</c:v>
                </c:pt>
                <c:pt idx="6">
                  <c:v>1.0773254099250416</c:v>
                </c:pt>
                <c:pt idx="7">
                  <c:v>0.79463568224020453</c:v>
                </c:pt>
                <c:pt idx="8">
                  <c:v>0.58170736792793831</c:v>
                </c:pt>
                <c:pt idx="9">
                  <c:v>0.42583471830473674</c:v>
                </c:pt>
                <c:pt idx="10">
                  <c:v>0.31172925995349998</c:v>
                </c:pt>
              </c:numCache>
            </c:numRef>
          </c:xVal>
          <c:yVal>
            <c:numRef>
              <c:f>[1]info!$G$3:$G$13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87</c:v>
                </c:pt>
                <c:pt idx="3">
                  <c:v>75</c:v>
                </c:pt>
                <c:pt idx="4">
                  <c:v>55</c:v>
                </c:pt>
                <c:pt idx="5">
                  <c:v>41</c:v>
                </c:pt>
                <c:pt idx="6">
                  <c:v>30</c:v>
                </c:pt>
                <c:pt idx="7">
                  <c:v>23</c:v>
                </c:pt>
                <c:pt idx="8">
                  <c:v>19</c:v>
                </c:pt>
                <c:pt idx="9">
                  <c:v>16</c:v>
                </c:pt>
                <c:pt idx="10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0A1-49DE-AA8C-1425E6066236}"/>
            </c:ext>
          </c:extLst>
        </c:ser>
        <c:ser>
          <c:idx val="2"/>
          <c:order val="3"/>
          <c:tx>
            <c:v>MAX DENSITY LINE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[1]info!$H$3:$H$4</c:f>
              <c:numCache>
                <c:formatCode>General</c:formatCode>
                <c:ptCount val="2"/>
                <c:pt idx="0">
                  <c:v>4.2872141011063745</c:v>
                </c:pt>
                <c:pt idx="1">
                  <c:v>0</c:v>
                </c:pt>
              </c:numCache>
            </c:numRef>
          </c:xVal>
          <c:yVal>
            <c:numRef>
              <c:f>[1]info!$I$3:$I$4</c:f>
              <c:numCache>
                <c:formatCode>General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0A1-49DE-AA8C-1425E6066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855823"/>
        <c:axId val="1"/>
      </c:scatterChart>
      <c:valAx>
        <c:axId val="103855823"/>
        <c:scaling>
          <c:orientation val="minMax"/>
          <c:max val="4.4000000000000004"/>
          <c:min val="0.2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SIEVE SIZE (mm)</a:t>
                </a:r>
              </a:p>
            </c:rich>
          </c:tx>
          <c:layout>
            <c:manualLayout>
              <c:xMode val="edge"/>
              <c:yMode val="edge"/>
              <c:x val="0.45406235462361516"/>
              <c:y val="0.908497526518862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At val="0.1"/>
        <c:crossBetween val="midCat"/>
      </c:val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PERCENT PASSING</a:t>
                </a:r>
              </a:p>
            </c:rich>
          </c:tx>
          <c:layout>
            <c:manualLayout>
              <c:xMode val="edge"/>
              <c:yMode val="edge"/>
              <c:x val="7.658930489268711E-3"/>
              <c:y val="0.356991363982728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3855823"/>
        <c:crossesAt val="0.01"/>
        <c:crossBetween val="midCat"/>
        <c:majorUnit val="1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334833761206545"/>
          <c:y val="0.19222607254738319"/>
          <c:w val="0.23523708196212892"/>
          <c:h val="0.14645790243961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orientation="landscape" horizontalDpi="300" verticalDpi="30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38100</xdr:rowOff>
    </xdr:from>
    <xdr:to>
      <xdr:col>1</xdr:col>
      <xdr:colOff>450783</xdr:colOff>
      <xdr:row>4</xdr:row>
      <xdr:rowOff>21688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C61473-000A-4CFD-8DFF-6F8A963EF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33350"/>
          <a:ext cx="736533" cy="6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</xdr:colOff>
      <xdr:row>1</xdr:row>
      <xdr:rowOff>10477</xdr:rowOff>
    </xdr:from>
    <xdr:to>
      <xdr:col>6</xdr:col>
      <xdr:colOff>445770</xdr:colOff>
      <xdr:row>14</xdr:row>
      <xdr:rowOff>147637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AE3E8E9-D5EB-42EC-B819-AB40F2BC20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525780</xdr:colOff>
      <xdr:row>1</xdr:row>
      <xdr:rowOff>11430</xdr:rowOff>
    </xdr:from>
    <xdr:to>
      <xdr:col>12</xdr:col>
      <xdr:colOff>434340</xdr:colOff>
      <xdr:row>14</xdr:row>
      <xdr:rowOff>148590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A31B0DF-CDC6-4378-B628-B6CB1E395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15</xdr:row>
      <xdr:rowOff>76200</xdr:rowOff>
    </xdr:from>
    <xdr:to>
      <xdr:col>6</xdr:col>
      <xdr:colOff>441960</xdr:colOff>
      <xdr:row>29</xdr:row>
      <xdr:rowOff>30480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61CF477-256B-43B6-8CB3-AA295D4DC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498717</xdr:colOff>
      <xdr:row>15</xdr:row>
      <xdr:rowOff>90389</xdr:rowOff>
    </xdr:from>
    <xdr:to>
      <xdr:col>12</xdr:col>
      <xdr:colOff>407277</xdr:colOff>
      <xdr:row>29</xdr:row>
      <xdr:rowOff>44669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32E3565-78EA-4652-B2AA-BC7C56493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15240</xdr:colOff>
      <xdr:row>35</xdr:row>
      <xdr:rowOff>60960</xdr:rowOff>
    </xdr:from>
    <xdr:to>
      <xdr:col>6</xdr:col>
      <xdr:colOff>556260</xdr:colOff>
      <xdr:row>49</xdr:row>
      <xdr:rowOff>15240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317E859-89AF-4309-957A-6A9B46FA9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40465</xdr:colOff>
      <xdr:row>35</xdr:row>
      <xdr:rowOff>53340</xdr:rowOff>
    </xdr:from>
    <xdr:to>
      <xdr:col>12</xdr:col>
      <xdr:colOff>573865</xdr:colOff>
      <xdr:row>49</xdr:row>
      <xdr:rowOff>7620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94C2006-11BB-48A5-BED7-A22B78C13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6</xdr:col>
      <xdr:colOff>533400</xdr:colOff>
      <xdr:row>63</xdr:row>
      <xdr:rowOff>137160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A746B07-B8BC-4B44-8B34-792B69639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579120</xdr:colOff>
      <xdr:row>50</xdr:row>
      <xdr:rowOff>7620</xdr:rowOff>
    </xdr:from>
    <xdr:to>
      <xdr:col>12</xdr:col>
      <xdr:colOff>487680</xdr:colOff>
      <xdr:row>63</xdr:row>
      <xdr:rowOff>144780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F1852BC0-EBA8-4BDC-9006-C924012F8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0.46063</cdr:x>
      <cdr:y>0.10949</cdr:y>
    </cdr:from>
    <cdr:to>
      <cdr:x>0.46206</cdr:x>
      <cdr:y>0.87099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CBC7BF6-08DF-4C0C-BF84-674B6769E4C5}"/>
            </a:ext>
          </a:extLst>
        </cdr:cNvPr>
        <cdr:cNvCxnSpPr/>
      </cdr:nvCxnSpPr>
      <cdr:spPr>
        <a:xfrm xmlns:a="http://schemas.openxmlformats.org/drawingml/2006/main" flipH="1" flipV="1">
          <a:off x="2105978" y="281949"/>
          <a:ext cx="6538" cy="196094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0.08042</cdr:x>
      <cdr:y>0.507</cdr:y>
    </cdr:from>
    <cdr:to>
      <cdr:x>0.97348</cdr:x>
      <cdr:y>0.5094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4E16D20A-F70D-41BB-A301-8F2E0A61D58E}"/>
            </a:ext>
          </a:extLst>
        </cdr:cNvPr>
        <cdr:cNvCxnSpPr/>
      </cdr:nvCxnSpPr>
      <cdr:spPr>
        <a:xfrm xmlns:a="http://schemas.openxmlformats.org/drawingml/2006/main">
          <a:off x="368519" y="1390815"/>
          <a:ext cx="4092465" cy="656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0.18349</cdr:x>
      <cdr:y>0.17241</cdr:y>
    </cdr:from>
    <cdr:to>
      <cdr:x>0.75258</cdr:x>
      <cdr:y>0.92912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00981484-D1C7-4FAD-AEAB-5134F6326320}"/>
            </a:ext>
          </a:extLst>
        </cdr:cNvPr>
        <cdr:cNvCxnSpPr/>
      </cdr:nvCxnSpPr>
      <cdr:spPr>
        <a:xfrm xmlns:a="http://schemas.openxmlformats.org/drawingml/2006/main" flipH="1">
          <a:off x="840828" y="472966"/>
          <a:ext cx="2607879" cy="2075793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54292</xdr:rowOff>
    </xdr:from>
    <xdr:to>
      <xdr:col>11</xdr:col>
      <xdr:colOff>236220</xdr:colOff>
      <xdr:row>20</xdr:row>
      <xdr:rowOff>31432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6D4991A2-8CE4-41F2-9483-29DB14DB1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0.0444</cdr:x>
      <cdr:y>0.87183</cdr:y>
    </cdr:from>
    <cdr:to>
      <cdr:x>0.09842</cdr:x>
      <cdr:y>0.9331</cdr:y>
    </cdr:to>
    <cdr:sp macro="" textlink="">
      <cdr:nvSpPr>
        <cdr:cNvPr id="5121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9288" y="2886524"/>
          <a:ext cx="376257" cy="2028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27432" tIns="27432" rIns="27432" bIns="27432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0.075</a:t>
          </a:r>
        </a:p>
      </cdr:txBody>
    </cdr:sp>
  </cdr:relSizeAnchor>
  <cdr:relSizeAnchor xmlns:cdr="http://schemas.openxmlformats.org/drawingml/2006/chartDrawing">
    <cdr:from>
      <cdr:x>0.0862</cdr:x>
      <cdr:y>0.87183</cdr:y>
    </cdr:from>
    <cdr:to>
      <cdr:x>0.12998</cdr:x>
      <cdr:y>0.9331</cdr:y>
    </cdr:to>
    <cdr:sp macro="" textlink="">
      <cdr:nvSpPr>
        <cdr:cNvPr id="5122" name="Text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0437" y="2886524"/>
          <a:ext cx="304955" cy="2028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27432" tIns="27432" rIns="27432" bIns="27432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0.15</a:t>
          </a:r>
        </a:p>
      </cdr:txBody>
    </cdr:sp>
  </cdr:relSizeAnchor>
  <cdr:relSizeAnchor xmlns:cdr="http://schemas.openxmlformats.org/drawingml/2006/chartDrawing">
    <cdr:from>
      <cdr:x>0.1283</cdr:x>
      <cdr:y>0.87013</cdr:y>
    </cdr:from>
    <cdr:to>
      <cdr:x>0.17207</cdr:x>
      <cdr:y>0.9314</cdr:y>
    </cdr:to>
    <cdr:sp macro="" textlink="">
      <cdr:nvSpPr>
        <cdr:cNvPr id="512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3656" y="2880895"/>
          <a:ext cx="304955" cy="2028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27432" tIns="27432" rIns="27432" bIns="27432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0.30</a:t>
          </a:r>
        </a:p>
      </cdr:txBody>
    </cdr:sp>
  </cdr:relSizeAnchor>
  <cdr:relSizeAnchor xmlns:cdr="http://schemas.openxmlformats.org/drawingml/2006/chartDrawing">
    <cdr:from>
      <cdr:x>0.17883</cdr:x>
      <cdr:y>0.87183</cdr:y>
    </cdr:from>
    <cdr:to>
      <cdr:x>0.21238</cdr:x>
      <cdr:y>0.9331</cdr:y>
    </cdr:to>
    <cdr:sp macro="" textlink="">
      <cdr:nvSpPr>
        <cdr:cNvPr id="5124" name="Text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5686" y="2886524"/>
          <a:ext cx="233654" cy="2028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27432" tIns="27432" rIns="27432" bIns="27432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0.6</a:t>
          </a:r>
        </a:p>
      </cdr:txBody>
    </cdr:sp>
  </cdr:relSizeAnchor>
  <cdr:relSizeAnchor xmlns:cdr="http://schemas.openxmlformats.org/drawingml/2006/chartDrawing">
    <cdr:from>
      <cdr:x>0.2275</cdr:x>
      <cdr:y>0.87183</cdr:y>
    </cdr:from>
    <cdr:to>
      <cdr:x>0.27128</cdr:x>
      <cdr:y>0.9331</cdr:y>
    </cdr:to>
    <cdr:sp macro="" textlink="">
      <cdr:nvSpPr>
        <cdr:cNvPr id="5125" name="Text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84716" y="2886524"/>
          <a:ext cx="304955" cy="2028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27432" tIns="27432" rIns="27432" bIns="27432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1.18</a:t>
          </a:r>
        </a:p>
      </cdr:txBody>
    </cdr:sp>
  </cdr:relSizeAnchor>
  <cdr:relSizeAnchor xmlns:cdr="http://schemas.openxmlformats.org/drawingml/2006/chartDrawing">
    <cdr:from>
      <cdr:x>0.31637</cdr:x>
      <cdr:y>0.87183</cdr:y>
    </cdr:from>
    <cdr:to>
      <cdr:x>0.36015</cdr:x>
      <cdr:y>0.9331</cdr:y>
    </cdr:to>
    <cdr:sp macro="" textlink="">
      <cdr:nvSpPr>
        <cdr:cNvPr id="5126" name="Text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03752" y="2886524"/>
          <a:ext cx="304955" cy="2028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27432" tIns="27432" rIns="27432" bIns="27432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2.36</a:t>
          </a:r>
        </a:p>
      </cdr:txBody>
    </cdr:sp>
  </cdr:relSizeAnchor>
  <cdr:relSizeAnchor xmlns:cdr="http://schemas.openxmlformats.org/drawingml/2006/chartDrawing">
    <cdr:from>
      <cdr:x>0.43552</cdr:x>
      <cdr:y>0.87183</cdr:y>
    </cdr:from>
    <cdr:to>
      <cdr:x>0.4793</cdr:x>
      <cdr:y>0.9331</cdr:y>
    </cdr:to>
    <cdr:sp macro="" textlink="">
      <cdr:nvSpPr>
        <cdr:cNvPr id="5127" name="Text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33672" y="2886524"/>
          <a:ext cx="304955" cy="2028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27432" tIns="27432" rIns="27432" bIns="27432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4.75</a:t>
          </a:r>
        </a:p>
      </cdr:txBody>
    </cdr:sp>
  </cdr:relSizeAnchor>
  <cdr:relSizeAnchor xmlns:cdr="http://schemas.openxmlformats.org/drawingml/2006/chartDrawing">
    <cdr:from>
      <cdr:x>0.60791</cdr:x>
      <cdr:y>0.87086</cdr:y>
    </cdr:from>
    <cdr:to>
      <cdr:x>0.64146</cdr:x>
      <cdr:y>0.93213</cdr:y>
    </cdr:to>
    <cdr:sp macro="" textlink="">
      <cdr:nvSpPr>
        <cdr:cNvPr id="5128" name="Text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34499" y="2883312"/>
          <a:ext cx="233654" cy="2028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27432" tIns="27432" rIns="27432" bIns="27432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9.5</a:t>
          </a:r>
        </a:p>
      </cdr:txBody>
    </cdr:sp>
  </cdr:relSizeAnchor>
  <cdr:relSizeAnchor xmlns:cdr="http://schemas.openxmlformats.org/drawingml/2006/chartDrawing">
    <cdr:from>
      <cdr:x>0.67849</cdr:x>
      <cdr:y>0.87183</cdr:y>
    </cdr:from>
    <cdr:to>
      <cdr:x>0.72227</cdr:x>
      <cdr:y>0.9331</cdr:y>
    </cdr:to>
    <cdr:sp macro="" textlink="">
      <cdr:nvSpPr>
        <cdr:cNvPr id="5129" name="Text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26147" y="2886524"/>
          <a:ext cx="304955" cy="2028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27432" tIns="27432" rIns="27432" bIns="27432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12.5</a:t>
          </a:r>
        </a:p>
      </cdr:txBody>
    </cdr:sp>
  </cdr:relSizeAnchor>
  <cdr:relSizeAnchor xmlns:cdr="http://schemas.openxmlformats.org/drawingml/2006/chartDrawing">
    <cdr:from>
      <cdr:x>0.84151</cdr:x>
      <cdr:y>0.87183</cdr:y>
    </cdr:from>
    <cdr:to>
      <cdr:x>0.86994</cdr:x>
      <cdr:y>0.9331</cdr:y>
    </cdr:to>
    <cdr:sp macro="" textlink="">
      <cdr:nvSpPr>
        <cdr:cNvPr id="5130" name="Text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61665" y="2886524"/>
          <a:ext cx="198003" cy="2028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27432" tIns="27432" rIns="27432" bIns="27432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19</a:t>
          </a:r>
        </a:p>
      </cdr:txBody>
    </cdr:sp>
  </cdr:relSizeAnchor>
  <cdr:relSizeAnchor xmlns:cdr="http://schemas.openxmlformats.org/drawingml/2006/chartDrawing">
    <cdr:from>
      <cdr:x>0.92939</cdr:x>
      <cdr:y>0.87183</cdr:y>
    </cdr:from>
    <cdr:to>
      <cdr:x>0.95782</cdr:x>
      <cdr:y>0.9331</cdr:y>
    </cdr:to>
    <cdr:sp macro="" textlink="">
      <cdr:nvSpPr>
        <cdr:cNvPr id="5131" name="Text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73805" y="2886524"/>
          <a:ext cx="198003" cy="2028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none" lIns="27432" tIns="27432" rIns="27432" bIns="27432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25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Construction\11%20QA%20SECTION\08%20research\SEAM\MASTER-RIDOLFI\Runway%2011-29\PL4106%20GnB%2075%20Blow%20Marshall.xls" TargetMode="External"/><Relationship Id="rId1" Type="http://schemas.openxmlformats.org/officeDocument/2006/relationships/externalLinkPath" Target="file:///P:\Construction\11%20QA%20SECTION\08%20research\SEAM\MASTER-RIDOLFI\Runway%2011-29\PL4106%20GnB%2075%20Blow%20Marshal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WDATA"/>
      <sheetName val="Lotman"/>
      <sheetName val="PLOTS"/>
      <sheetName val="PLOTS2"/>
      <sheetName val="AGGOUT"/>
      <sheetName val="SUMMARY"/>
      <sheetName val="Tempvis"/>
      <sheetName val="info"/>
      <sheetName val="Bat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C3">
            <v>4.2872141011063745</v>
          </cell>
          <cell r="D3">
            <v>100</v>
          </cell>
          <cell r="E3">
            <v>100</v>
          </cell>
          <cell r="G3">
            <v>100</v>
          </cell>
          <cell r="H3">
            <v>4.2872141011063745</v>
          </cell>
          <cell r="I3">
            <v>100</v>
          </cell>
        </row>
        <row r="4">
          <cell r="C4">
            <v>3.7621761023862978</v>
          </cell>
          <cell r="D4">
            <v>97.472000000000008</v>
          </cell>
          <cell r="E4">
            <v>90</v>
          </cell>
          <cell r="G4">
            <v>100</v>
          </cell>
          <cell r="H4">
            <v>0</v>
          </cell>
          <cell r="I4">
            <v>0</v>
          </cell>
        </row>
        <row r="5">
          <cell r="C5">
            <v>3.116086507375345</v>
          </cell>
          <cell r="D5">
            <v>80.477000000000004</v>
          </cell>
          <cell r="E5">
            <v>72</v>
          </cell>
          <cell r="G5">
            <v>87</v>
          </cell>
        </row>
        <row r="6">
          <cell r="C6">
            <v>2.754074108566122</v>
          </cell>
          <cell r="D6">
            <v>70.75800000000001</v>
          </cell>
          <cell r="E6">
            <v>60</v>
          </cell>
          <cell r="G6">
            <v>75</v>
          </cell>
        </row>
        <row r="7">
          <cell r="C7">
            <v>2.0161002539629291</v>
          </cell>
          <cell r="D7">
            <v>47.247999999999998</v>
          </cell>
          <cell r="E7">
            <v>40</v>
          </cell>
          <cell r="G7">
            <v>55</v>
          </cell>
        </row>
        <row r="8">
          <cell r="C8">
            <v>1.4716698795820382</v>
          </cell>
          <cell r="D8">
            <v>29.869</v>
          </cell>
          <cell r="E8">
            <v>27</v>
          </cell>
          <cell r="G8">
            <v>41</v>
          </cell>
        </row>
        <row r="9">
          <cell r="C9">
            <v>1.0773254099250416</v>
          </cell>
          <cell r="D9">
            <v>19.806000000000001</v>
          </cell>
          <cell r="E9">
            <v>17</v>
          </cell>
          <cell r="G9">
            <v>30</v>
          </cell>
        </row>
        <row r="10">
          <cell r="C10">
            <v>0.79463568224020453</v>
          </cell>
          <cell r="D10">
            <v>13.353999999999999</v>
          </cell>
          <cell r="E10">
            <v>10</v>
          </cell>
          <cell r="G10">
            <v>23</v>
          </cell>
        </row>
        <row r="11">
          <cell r="C11">
            <v>0.58170736792793831</v>
          </cell>
          <cell r="D11">
            <v>9.6739999999999995</v>
          </cell>
          <cell r="E11">
            <v>7</v>
          </cell>
          <cell r="G11">
            <v>19</v>
          </cell>
        </row>
        <row r="12">
          <cell r="C12">
            <v>0.42583471830473674</v>
          </cell>
          <cell r="D12">
            <v>6.3019999999999987</v>
          </cell>
          <cell r="E12">
            <v>6</v>
          </cell>
          <cell r="G12">
            <v>16</v>
          </cell>
        </row>
        <row r="13">
          <cell r="C13">
            <v>0.31172925995349998</v>
          </cell>
          <cell r="D13">
            <v>4.2149999999999999</v>
          </cell>
          <cell r="E13">
            <v>3</v>
          </cell>
          <cell r="G13">
            <v>7</v>
          </cell>
        </row>
      </sheetData>
      <sheetData sheetId="8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Nicholas Warnke" id="{DB181227-FC80-41B6-B63D-2A7752F5CFDD}" userId="S::Nicholas.Warnke@ClarkCountyNV.gov::a8b581d8-45e9-485b-ad27-1217a924b77f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862901BB-425C-4022-AF4C-EEA225AEC978}" autoFormatId="16" applyNumberFormats="0" applyBorderFormats="0" applyFontFormats="0" applyPatternFormats="0" applyAlignmentFormats="0" applyWidthHeightFormats="0">
  <queryTableRefresh nextId="4">
    <queryTableFields count="3">
      <queryTableField id="1" name="sieve" tableColumnId="1"/>
      <queryTableField id="2" name="max" tableColumnId="2"/>
      <queryTableField id="3" name="min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3FA732F-5630-42E8-B6C7-CD869E6B908D}" name="Table1__2" displayName="Table1__2" ref="A1:C14" tableType="queryTable" totalsRowShown="0">
  <autoFilter ref="A1:C14" xr:uid="{83FA732F-5630-42E8-B6C7-CD869E6B908D}">
    <filterColumn colId="1">
      <filters>
        <filter val="100"/>
        <filter val="2"/>
        <filter val="23"/>
        <filter val="90"/>
      </filters>
    </filterColumn>
  </autoFilter>
  <tableColumns count="3">
    <tableColumn id="1" xr3:uid="{0A784BFC-5546-4D8F-900D-A612873DF207}" uniqueName="1" name="sieve" queryTableFieldId="1"/>
    <tableColumn id="2" xr3:uid="{AC580380-3556-4608-B262-485BB31454E2}" uniqueName="2" name="MIN" queryTableFieldId="2"/>
    <tableColumn id="3" xr3:uid="{D7315B09-83DA-4CD2-9B7B-1AABFF783ABE}" uniqueName="3" name="MAX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4" dT="2022-08-25T00:00:00.07" personId="{DB181227-FC80-41B6-B63D-2A7752F5CFDD}" id="{BEA60564-255E-43C5-9F3A-43A2EF8DDAEB}">
    <text>Update Gradation if not showing (k20)</text>
  </threadedComment>
  <threadedComment ref="E14" dT="2022-08-24T21:21:39.86" personId="{DB181227-FC80-41B6-B63D-2A7752F5CFDD}" id="{A4505B07-9284-4D5C-A693-FEAC396E9F07}">
    <text>CCUSS   705.03.01  or  705.03.08</text>
  </threadedComment>
  <threadedComment ref="H29" dT="2022-08-24T22:01:14.16" personId="{DB181227-FC80-41B6-B63D-2A7752F5CFDD}" id="{310DBDD2-C742-431F-8BCA-1AE6955D0EC7}">
    <text>CCUSS 401.03.08</text>
  </threadedComment>
  <threadedComment ref="A30" dT="2022-08-24T21:52:18.19" personId="{DB181227-FC80-41B6-B63D-2A7752F5CFDD}" id="{3EE91580-A2EA-4DDD-8599-067FE1B224AE}">
    <text>CCUSS 401.02.01D</text>
  </threadedComment>
  <threadedComment ref="H31" dT="2022-08-24T22:47:21.57" personId="{DB181227-FC80-41B6-B63D-2A7752F5CFDD}" id="{1E89AB76-9EAC-4891-847C-726B1D4112FF}">
    <text>CCUSS 401.02.01C</text>
  </threadedComment>
  <threadedComment ref="A33" dT="2022-08-24T21:16:40.41" personId="{DB181227-FC80-41B6-B63D-2A7752F5CFDD}" id="{4778065F-2179-4996-A0C4-BDA1CCEE3DFD}">
    <text>CCUSS 401.02D HMA or 413.02.02 UTACS</text>
  </threadedComment>
  <threadedComment ref="A34" dT="2022-08-24T21:00:26.31" personId="{DB181227-FC80-41B6-B63D-2A7752F5CFDD}" id="{CB07B6BE-4C23-4003-8F09-70ECBF0C8E4E}">
    <text>CCUSS 401.01</text>
  </threadedComment>
  <threadedComment ref="H34" dT="2022-08-24T23:29:52.80" personId="{DB181227-FC80-41B6-B63D-2A7752F5CFDD}" id="{E0BBAFFE-DD9A-44CE-8E5B-00C9663C3540}">
    <text>CCUSS 401.02.01L, 401.02.01N</text>
  </threadedComment>
  <threadedComment ref="A35" dT="2022-08-24T21:00:18.17" personId="{DB181227-FC80-41B6-B63D-2A7752F5CFDD}" id="{B5ACF9E8-B898-44A7-A030-35F5F1461BC4}">
    <text>CCUSS 401.02.01D</text>
  </threadedComment>
  <threadedComment ref="H35" dT="2022-08-24T23:30:12.88" personId="{DB181227-FC80-41B6-B63D-2A7752F5CFDD}" id="{8614F526-6218-4AF0-A65B-0D508C30471F}">
    <text>CCUSS 401.02.01L, 401.02.01N</text>
  </threadedComment>
  <threadedComment ref="W46" dT="2022-08-25T15:50:18.85" personId="{DB181227-FC80-41B6-B63D-2A7752F5CFDD}" id="{0CA3D6CB-2764-4424-834F-E8EDD5129B23}">
    <text>TABLE 2, 705.03.01</text>
  </threadedComment>
  <threadedComment ref="W47" dT="2022-08-25T15:50:23.29" personId="{DB181227-FC80-41B6-B63D-2A7752F5CFDD}" id="{0535F851-3C15-4601-B569-B4F764511F80}">
    <text>TABLE 2, 705.03.01,705.03.08D(UTACS)</text>
  </threadedComment>
  <threadedComment ref="W48" dT="2022-08-25T15:56:18.69" personId="{DB181227-FC80-41B6-B63D-2A7752F5CFDD}" id="{8FE196DB-7999-4DD4-BD66-0AFED3FF4F65}">
    <text>HMA 705.03.04C, UTACS 705.03.08B</text>
  </threadedComment>
  <threadedComment ref="W51" dT="2022-08-25T16:01:57.50" personId="{DB181227-FC80-41B6-B63D-2A7752F5CFDD}" id="{5F6C3E63-8361-49F6-9AA2-9C9B85EE6A4D}">
    <text>705.03.01 TABLE 1</text>
  </threadedComment>
  <threadedComment ref="W52" dT="2022-08-25T16:02:17.13" personId="{DB181227-FC80-41B6-B63D-2A7752F5CFDD}" id="{1B296E6E-AFE8-4C1A-B618-6DE889D3949C}">
    <text>705.03.01 TABLE 1, 705.03.08D(UTACS)</text>
  </threadedComment>
  <threadedComment ref="W53" dT="2022-08-25T16:04:54.14" personId="{DB181227-FC80-41B6-B63D-2A7752F5CFDD}" id="{78DD67B2-8568-488A-9338-BED0A1B11E26}">
    <text>705.03.01 TABLE 1</text>
  </threadedComment>
  <threadedComment ref="W54" dT="2022-08-25T16:04:58.31" personId="{DB181227-FC80-41B6-B63D-2A7752F5CFDD}" id="{F08FD650-658A-44C2-852A-E57DD0786F67}">
    <text>705.03.01 TABLE 1, 705.03.08D(UTACS)</text>
  </threadedComment>
  <threadedComment ref="W55" dT="2022-08-25T16:05:03.56" personId="{DB181227-FC80-41B6-B63D-2A7752F5CFDD}" id="{8C75256F-47C0-41AA-A598-9F372BFE0CAC}">
    <text>705.03.01 TABLE 1</text>
  </threadedComment>
  <threadedComment ref="W56" dT="2022-08-25T16:05:11.18" personId="{DB181227-FC80-41B6-B63D-2A7752F5CFDD}" id="{C42334E0-018B-45C9-8D1F-D6879A434203}">
    <text>705.03.01 TABLE 1</text>
  </threadedComment>
  <threadedComment ref="W57" dT="2022-08-25T16:06:12.94" personId="{DB181227-FC80-41B6-B63D-2A7752F5CFDD}" id="{04A31938-BFEE-4A9E-8CC8-05399BFDC663}">
    <text>705.03.08D(UTACS) 705.03.04C TABLE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O47" dT="2022-08-24T23:05:53.90" personId="{DB181227-FC80-41B6-B63D-2A7752F5CFDD}" id="{F97E3D4F-6180-4006-A80B-4B1B5512071F}">
    <text>401.02.01E 50% psi min with AC-10 Asphalt</text>
  </threadedComment>
  <threadedComment ref="O48" dT="2022-08-24T23:06:48.49" personId="{DB181227-FC80-41B6-B63D-2A7752F5CFDD}" id="{9B1EA5FC-A7B4-48D0-86A8-33A981A9933F}">
    <text>401.02.01E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975B6-6FC7-455A-81C1-57DAE401FF80}">
  <sheetPr>
    <pageSetUpPr fitToPage="1"/>
  </sheetPr>
  <dimension ref="A1:AG58"/>
  <sheetViews>
    <sheetView showZeros="0" view="pageBreakPreview" zoomScaleNormal="100" zoomScaleSheetLayoutView="100" zoomScalePageLayoutView="130" workbookViewId="0">
      <selection activeCell="E12" sqref="E12"/>
    </sheetView>
  </sheetViews>
  <sheetFormatPr defaultColWidth="9.109375" defaultRowHeight="14.4" x14ac:dyDescent="0.3"/>
  <cols>
    <col min="1" max="1" width="5.44140625" bestFit="1" customWidth="1"/>
    <col min="2" max="2" width="8.44140625" bestFit="1" customWidth="1"/>
    <col min="3" max="3" width="6.5546875" bestFit="1" customWidth="1"/>
    <col min="4" max="4" width="10.6640625" customWidth="1"/>
    <col min="5" max="5" width="11.33203125" customWidth="1"/>
    <col min="6" max="7" width="15.5546875" hidden="1" customWidth="1"/>
    <col min="8" max="9" width="1.6640625" customWidth="1"/>
    <col min="10" max="10" width="21.109375" customWidth="1"/>
    <col min="11" max="11" width="23.109375" customWidth="1"/>
    <col min="12" max="12" width="2.109375" customWidth="1"/>
    <col min="13" max="13" width="12.88671875" customWidth="1"/>
    <col min="14" max="14" width="15.109375" customWidth="1"/>
    <col min="15" max="15" width="6.88671875" bestFit="1" customWidth="1"/>
    <col min="16" max="16" width="5.88671875" bestFit="1" customWidth="1"/>
    <col min="17" max="17" width="4.6640625" bestFit="1" customWidth="1"/>
    <col min="19" max="19" width="9.5546875" bestFit="1" customWidth="1"/>
    <col min="20" max="20" width="13.109375" bestFit="1" customWidth="1"/>
    <col min="21" max="21" width="7" bestFit="1" customWidth="1"/>
    <col min="22" max="22" width="8.5546875" customWidth="1"/>
    <col min="23" max="23" width="10.44140625" customWidth="1"/>
    <col min="24" max="24" width="7.5546875" customWidth="1"/>
    <col min="25" max="25" width="7.109375" bestFit="1" customWidth="1"/>
    <col min="26" max="32" width="0" hidden="1" customWidth="1"/>
  </cols>
  <sheetData>
    <row r="1" spans="1:33" ht="3.75" customHeight="1" thickBot="1" x14ac:dyDescent="0.35">
      <c r="A1" s="299"/>
      <c r="B1" s="299"/>
      <c r="C1" s="299"/>
      <c r="D1" s="299"/>
      <c r="E1" s="299"/>
      <c r="F1" s="299"/>
      <c r="G1" s="299"/>
      <c r="H1" s="299"/>
      <c r="I1" s="299"/>
      <c r="J1" s="299"/>
      <c r="K1" s="299"/>
    </row>
    <row r="2" spans="1:33" ht="15" thickBot="1" x14ac:dyDescent="0.35">
      <c r="A2" s="300"/>
      <c r="B2" s="301"/>
      <c r="C2" s="300" t="s">
        <v>1</v>
      </c>
      <c r="D2" s="286"/>
      <c r="E2" s="286"/>
      <c r="F2" s="286"/>
      <c r="G2" s="286"/>
      <c r="H2" s="286"/>
      <c r="I2" s="286"/>
      <c r="J2" s="301"/>
      <c r="K2" s="302" t="s">
        <v>3</v>
      </c>
      <c r="M2" s="423" t="s">
        <v>72</v>
      </c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  <c r="Y2" s="424"/>
    </row>
    <row r="3" spans="1:33" ht="21.6" x14ac:dyDescent="0.3">
      <c r="A3" s="285"/>
      <c r="B3" s="283"/>
      <c r="C3" s="285" t="s">
        <v>2</v>
      </c>
      <c r="D3" s="282"/>
      <c r="E3" s="282"/>
      <c r="F3" s="282"/>
      <c r="G3" s="282"/>
      <c r="H3" s="282"/>
      <c r="I3" s="282"/>
      <c r="J3" s="283"/>
      <c r="K3" s="303"/>
      <c r="M3" s="400" t="s">
        <v>66</v>
      </c>
      <c r="N3" s="401"/>
      <c r="O3" s="117" t="s">
        <v>203</v>
      </c>
      <c r="P3" s="117" t="s">
        <v>12</v>
      </c>
      <c r="Q3" s="117" t="s">
        <v>13</v>
      </c>
      <c r="R3" s="117" t="s">
        <v>205</v>
      </c>
      <c r="S3" s="117">
        <v>5</v>
      </c>
      <c r="T3" s="117" t="s">
        <v>32</v>
      </c>
      <c r="U3" s="117"/>
      <c r="V3" s="117"/>
      <c r="W3" s="369" t="s">
        <v>215</v>
      </c>
      <c r="X3" s="372" t="s">
        <v>252</v>
      </c>
      <c r="Y3" s="374" t="s">
        <v>263</v>
      </c>
      <c r="Z3" s="376"/>
      <c r="AA3" s="376"/>
      <c r="AB3" s="377"/>
    </row>
    <row r="4" spans="1:33" ht="15" thickBot="1" x14ac:dyDescent="0.35">
      <c r="A4" s="285"/>
      <c r="B4" s="283"/>
      <c r="C4" s="285" t="s">
        <v>0</v>
      </c>
      <c r="D4" s="282"/>
      <c r="E4" s="282"/>
      <c r="F4" s="282"/>
      <c r="G4" s="282"/>
      <c r="H4" s="282"/>
      <c r="I4" s="282"/>
      <c r="J4" s="283"/>
      <c r="K4" s="303"/>
      <c r="M4" s="402" t="s">
        <v>204</v>
      </c>
      <c r="N4" s="403"/>
      <c r="O4" s="118">
        <v>1</v>
      </c>
      <c r="P4" s="119">
        <v>2</v>
      </c>
      <c r="Q4" s="118">
        <v>3</v>
      </c>
      <c r="R4" s="118">
        <v>4</v>
      </c>
      <c r="S4" s="118">
        <v>5</v>
      </c>
      <c r="T4" s="118">
        <v>6</v>
      </c>
      <c r="U4" s="119">
        <v>8</v>
      </c>
      <c r="V4" s="119">
        <v>9</v>
      </c>
      <c r="W4" s="370"/>
      <c r="X4" s="373"/>
      <c r="Y4" s="375"/>
      <c r="Z4" s="378">
        <v>0.45</v>
      </c>
      <c r="AA4" s="378" t="s">
        <v>256</v>
      </c>
      <c r="AB4" s="378">
        <v>0.45</v>
      </c>
      <c r="AC4" s="366" t="s">
        <v>264</v>
      </c>
      <c r="AD4" s="366"/>
      <c r="AE4" s="366"/>
    </row>
    <row r="5" spans="1:33" ht="15" thickBot="1" x14ac:dyDescent="0.35">
      <c r="A5" s="273"/>
      <c r="B5" s="284"/>
      <c r="C5" s="273" t="s">
        <v>320</v>
      </c>
      <c r="D5" s="272"/>
      <c r="E5" s="272"/>
      <c r="F5" s="272"/>
      <c r="G5" s="272"/>
      <c r="H5" s="272"/>
      <c r="I5" s="272"/>
      <c r="J5" s="284"/>
      <c r="K5" s="304"/>
      <c r="M5" s="402" t="s">
        <v>67</v>
      </c>
      <c r="N5" s="403"/>
      <c r="O5" s="120" t="s">
        <v>11</v>
      </c>
      <c r="P5" s="120" t="s">
        <v>12</v>
      </c>
      <c r="Q5" s="120" t="s">
        <v>13</v>
      </c>
      <c r="R5" s="120" t="s">
        <v>205</v>
      </c>
      <c r="S5" s="120" t="s">
        <v>216</v>
      </c>
      <c r="T5" s="121" t="s">
        <v>206</v>
      </c>
      <c r="U5" s="121" t="s">
        <v>31</v>
      </c>
      <c r="V5" s="119" t="s">
        <v>321</v>
      </c>
      <c r="W5" s="371"/>
      <c r="X5" s="379" t="s">
        <v>69</v>
      </c>
      <c r="Y5" s="380" t="s">
        <v>70</v>
      </c>
      <c r="Z5" s="378"/>
      <c r="AA5" s="378"/>
      <c r="AB5" s="378"/>
      <c r="AC5" s="366"/>
      <c r="AD5" s="366"/>
      <c r="AE5" s="366"/>
    </row>
    <row r="6" spans="1:33" ht="15" thickBot="1" x14ac:dyDescent="0.35">
      <c r="A6" s="315" t="s">
        <v>47</v>
      </c>
      <c r="B6" s="315"/>
      <c r="C6" s="315"/>
      <c r="D6" s="315"/>
      <c r="E6" s="315"/>
      <c r="F6" s="315"/>
      <c r="G6" s="315"/>
      <c r="H6" s="315"/>
      <c r="I6" s="324"/>
      <c r="J6" s="324"/>
      <c r="K6" s="62" t="s">
        <v>319</v>
      </c>
      <c r="M6" s="404" t="s">
        <v>68</v>
      </c>
      <c r="N6" s="405"/>
      <c r="O6" s="122">
        <v>0.3</v>
      </c>
      <c r="P6" s="122">
        <v>0.18</v>
      </c>
      <c r="Q6" s="122">
        <v>0.12</v>
      </c>
      <c r="R6" s="122">
        <v>0.15</v>
      </c>
      <c r="S6" s="122">
        <v>0.1</v>
      </c>
      <c r="T6" s="122">
        <v>0.1</v>
      </c>
      <c r="U6" s="122">
        <v>0.05</v>
      </c>
      <c r="V6" s="122"/>
      <c r="W6" s="123">
        <v>1</v>
      </c>
      <c r="X6" s="379"/>
      <c r="Y6" s="380"/>
      <c r="Z6" s="48">
        <v>46.188781140264396</v>
      </c>
      <c r="AA6" s="47"/>
      <c r="AB6" s="69">
        <v>0</v>
      </c>
      <c r="AC6" s="49" t="s">
        <v>6</v>
      </c>
      <c r="AD6" s="49" t="s">
        <v>155</v>
      </c>
      <c r="AE6" s="49" t="s">
        <v>156</v>
      </c>
    </row>
    <row r="7" spans="1:33" ht="14.25" customHeight="1" x14ac:dyDescent="0.3">
      <c r="A7" s="314" t="s">
        <v>4</v>
      </c>
      <c r="B7" s="314"/>
      <c r="C7" s="314"/>
      <c r="D7" s="314"/>
      <c r="E7" s="314"/>
      <c r="F7" s="314"/>
      <c r="G7" s="314"/>
      <c r="H7" s="314"/>
      <c r="I7" s="333"/>
      <c r="J7" s="333"/>
      <c r="K7" s="61"/>
      <c r="M7" s="104">
        <v>1</v>
      </c>
      <c r="N7" s="105">
        <v>25</v>
      </c>
      <c r="O7" s="113">
        <v>99</v>
      </c>
      <c r="P7" s="113">
        <v>99</v>
      </c>
      <c r="Q7" s="113">
        <v>99</v>
      </c>
      <c r="R7" s="113">
        <v>99</v>
      </c>
      <c r="S7" s="113">
        <v>99</v>
      </c>
      <c r="T7" s="113">
        <v>99</v>
      </c>
      <c r="U7" s="113">
        <v>100</v>
      </c>
      <c r="V7" s="113"/>
      <c r="W7" s="97">
        <f t="shared" ref="W7:W18" si="0">MROUND(O7*$O$6+P7*$P$6+Q7*$Q$6+R7*$R$6+S7*$S$6+T7*$T$6+U7*$U$6,1)</f>
        <v>99</v>
      </c>
      <c r="X7" s="93" t="str">
        <f t="shared" ref="X7:Y12" si="1">D16</f>
        <v>100-100</v>
      </c>
      <c r="Y7" s="98" t="str">
        <f t="shared" si="1"/>
        <v>100-100</v>
      </c>
      <c r="Z7" s="48">
        <v>4.8231556000769089</v>
      </c>
      <c r="AA7" s="47"/>
      <c r="AB7" s="69">
        <v>0</v>
      </c>
      <c r="AC7" s="63">
        <v>25</v>
      </c>
      <c r="AD7" s="49">
        <v>100</v>
      </c>
      <c r="AE7" s="49">
        <v>0</v>
      </c>
    </row>
    <row r="8" spans="1:33" x14ac:dyDescent="0.3">
      <c r="A8" s="332" t="s">
        <v>317</v>
      </c>
      <c r="B8" s="332"/>
      <c r="C8" s="332"/>
      <c r="D8" s="332"/>
      <c r="E8" s="332"/>
      <c r="F8" s="332"/>
      <c r="G8" s="332"/>
      <c r="H8" s="332"/>
      <c r="I8" s="331"/>
      <c r="J8" s="331"/>
      <c r="K8" s="131"/>
      <c r="M8" s="106" t="s">
        <v>263</v>
      </c>
      <c r="N8" s="107">
        <v>19</v>
      </c>
      <c r="O8" s="114">
        <v>97</v>
      </c>
      <c r="P8" s="114">
        <v>97</v>
      </c>
      <c r="Q8" s="114">
        <v>97</v>
      </c>
      <c r="R8" s="114">
        <v>97</v>
      </c>
      <c r="S8" s="114">
        <v>97</v>
      </c>
      <c r="T8" s="114">
        <v>97</v>
      </c>
      <c r="U8" s="114">
        <v>97</v>
      </c>
      <c r="V8" s="114"/>
      <c r="W8" s="99">
        <f t="shared" si="0"/>
        <v>97</v>
      </c>
      <c r="X8" s="94" t="str">
        <f t="shared" si="1"/>
        <v>90-100</v>
      </c>
      <c r="Y8" s="100" t="str">
        <f t="shared" si="1"/>
        <v>84-97</v>
      </c>
      <c r="Z8" s="48">
        <v>4.0187427461927347</v>
      </c>
      <c r="AA8" s="47"/>
      <c r="AB8" s="69">
        <v>0</v>
      </c>
      <c r="AC8" s="63">
        <v>19</v>
      </c>
      <c r="AD8" s="49">
        <v>90</v>
      </c>
      <c r="AE8" s="49">
        <v>100</v>
      </c>
    </row>
    <row r="9" spans="1:33" ht="14.25" customHeight="1" x14ac:dyDescent="0.3">
      <c r="A9" s="312"/>
      <c r="B9" s="312"/>
      <c r="C9" s="312"/>
      <c r="D9" s="312"/>
      <c r="E9" s="312"/>
      <c r="F9" s="312"/>
      <c r="G9" s="312"/>
      <c r="H9" s="312"/>
      <c r="I9" s="312"/>
      <c r="J9" s="312"/>
      <c r="K9" s="312"/>
      <c r="M9" s="106" t="s">
        <v>265</v>
      </c>
      <c r="N9" s="107">
        <v>12.5</v>
      </c>
      <c r="O9" s="114">
        <v>69</v>
      </c>
      <c r="P9" s="114">
        <v>69</v>
      </c>
      <c r="Q9" s="114">
        <v>69</v>
      </c>
      <c r="R9" s="114">
        <v>69</v>
      </c>
      <c r="S9" s="114">
        <v>69</v>
      </c>
      <c r="T9" s="114">
        <v>69</v>
      </c>
      <c r="U9" s="114">
        <v>69</v>
      </c>
      <c r="V9" s="114"/>
      <c r="W9" s="99">
        <f t="shared" si="0"/>
        <v>69</v>
      </c>
      <c r="X9" s="94" t="str">
        <f t="shared" si="1"/>
        <v>62-76</v>
      </c>
      <c r="Y9" s="100" t="str">
        <f t="shared" si="1"/>
        <v>66-82</v>
      </c>
      <c r="Z9" s="48">
        <v>2.8183829312644542</v>
      </c>
      <c r="AA9" s="47"/>
      <c r="AB9" s="69">
        <v>0</v>
      </c>
      <c r="AC9" s="63">
        <v>12.5</v>
      </c>
      <c r="AD9" s="49">
        <v>0</v>
      </c>
      <c r="AE9" s="49">
        <v>90</v>
      </c>
    </row>
    <row r="10" spans="1:33" x14ac:dyDescent="0.3">
      <c r="A10" s="313" t="s">
        <v>110</v>
      </c>
      <c r="B10" s="313"/>
      <c r="C10" s="313"/>
      <c r="D10" s="313"/>
      <c r="E10" s="313"/>
      <c r="F10" s="313"/>
      <c r="G10" s="313"/>
      <c r="H10" s="313"/>
      <c r="I10" s="313"/>
      <c r="J10" s="313"/>
      <c r="K10" s="313"/>
      <c r="M10" s="106" t="s">
        <v>266</v>
      </c>
      <c r="N10" s="107">
        <v>9.5</v>
      </c>
      <c r="O10" s="114">
        <v>56</v>
      </c>
      <c r="P10" s="114">
        <v>56</v>
      </c>
      <c r="Q10" s="114">
        <v>56</v>
      </c>
      <c r="R10" s="114">
        <v>56</v>
      </c>
      <c r="S10" s="114">
        <v>56</v>
      </c>
      <c r="T10" s="114">
        <v>56</v>
      </c>
      <c r="U10" s="114">
        <v>56</v>
      </c>
      <c r="V10" s="114"/>
      <c r="W10" s="99">
        <f t="shared" si="0"/>
        <v>56</v>
      </c>
      <c r="X10" s="94" t="str">
        <f t="shared" si="1"/>
        <v>49-63</v>
      </c>
      <c r="Y10" s="100" t="str">
        <f t="shared" si="1"/>
        <v>56-72</v>
      </c>
      <c r="Z10" s="48">
        <v>11.997009531682908</v>
      </c>
      <c r="AA10" s="47"/>
      <c r="AB10" s="69">
        <v>0</v>
      </c>
      <c r="AC10" s="63">
        <v>9.5</v>
      </c>
      <c r="AD10" s="49">
        <v>0</v>
      </c>
      <c r="AE10" s="49">
        <v>0</v>
      </c>
      <c r="AF10" s="53"/>
      <c r="AG10" s="53"/>
    </row>
    <row r="11" spans="1:33" ht="29.4" customHeight="1" x14ac:dyDescent="0.45">
      <c r="A11" s="313"/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M11" s="108" t="s">
        <v>14</v>
      </c>
      <c r="N11" s="107">
        <v>4.75</v>
      </c>
      <c r="O11" s="114">
        <v>35</v>
      </c>
      <c r="P11" s="114">
        <v>35</v>
      </c>
      <c r="Q11" s="114">
        <v>35</v>
      </c>
      <c r="R11" s="114">
        <v>35</v>
      </c>
      <c r="S11" s="114">
        <v>35</v>
      </c>
      <c r="T11" s="114">
        <v>35</v>
      </c>
      <c r="U11" s="114">
        <v>35</v>
      </c>
      <c r="V11" s="114"/>
      <c r="W11" s="99">
        <f t="shared" si="0"/>
        <v>35</v>
      </c>
      <c r="X11" s="94" t="str">
        <f t="shared" si="1"/>
        <v>28-42</v>
      </c>
      <c r="Y11" s="100" t="str">
        <f t="shared" si="1"/>
        <v>35-50</v>
      </c>
      <c r="Z11" s="48">
        <v>6.9787488376816533</v>
      </c>
      <c r="AA11" s="47"/>
      <c r="AB11" s="69">
        <v>0</v>
      </c>
      <c r="AC11" s="63">
        <v>4.75</v>
      </c>
      <c r="AD11" s="49">
        <v>0</v>
      </c>
      <c r="AE11" s="49">
        <v>0</v>
      </c>
      <c r="AF11" s="54"/>
    </row>
    <row r="12" spans="1:33" ht="19.8" thickBot="1" x14ac:dyDescent="0.5">
      <c r="A12" s="282" t="s">
        <v>63</v>
      </c>
      <c r="B12" s="282"/>
      <c r="C12" s="282"/>
      <c r="D12" s="282"/>
      <c r="E12" s="132" t="s">
        <v>322</v>
      </c>
      <c r="H12" s="272" t="s">
        <v>54</v>
      </c>
      <c r="I12" s="272"/>
      <c r="J12" s="272"/>
      <c r="K12" s="15" t="str">
        <f>IF(E12="UTACS","UTACS","HMA")</f>
        <v>HMA</v>
      </c>
      <c r="M12" s="108" t="s">
        <v>15</v>
      </c>
      <c r="N12" s="107">
        <v>2.36</v>
      </c>
      <c r="O12" s="114">
        <v>22</v>
      </c>
      <c r="P12" s="114">
        <v>35</v>
      </c>
      <c r="Q12" s="114">
        <v>33</v>
      </c>
      <c r="R12" s="114">
        <v>33</v>
      </c>
      <c r="S12" s="114">
        <v>33</v>
      </c>
      <c r="T12" s="114">
        <v>22</v>
      </c>
      <c r="U12" s="114">
        <v>22</v>
      </c>
      <c r="V12" s="114"/>
      <c r="W12" s="99">
        <f t="shared" si="0"/>
        <v>28</v>
      </c>
      <c r="X12" s="94" t="str">
        <f t="shared" si="1"/>
        <v>24-32</v>
      </c>
      <c r="Y12" s="100" t="str">
        <f t="shared" si="1"/>
        <v>23-38</v>
      </c>
      <c r="Z12" s="48">
        <v>13.958238668802091</v>
      </c>
      <c r="AA12" s="47"/>
      <c r="AB12" s="69">
        <v>0</v>
      </c>
      <c r="AC12" s="63">
        <v>2.36</v>
      </c>
      <c r="AD12" s="49">
        <v>23</v>
      </c>
      <c r="AE12" s="49">
        <v>49</v>
      </c>
      <c r="AF12" s="54"/>
    </row>
    <row r="13" spans="1:33" ht="19.8" thickBot="1" x14ac:dyDescent="0.5">
      <c r="A13" s="307" t="s">
        <v>5</v>
      </c>
      <c r="B13" s="308"/>
      <c r="C13" s="308"/>
      <c r="D13" s="308"/>
      <c r="E13" s="309"/>
      <c r="F13" s="144"/>
      <c r="G13" s="144"/>
      <c r="H13" s="328" t="s">
        <v>46</v>
      </c>
      <c r="I13" s="329"/>
      <c r="J13" s="329"/>
      <c r="K13" s="330"/>
      <c r="M13" s="108" t="s">
        <v>75</v>
      </c>
      <c r="N13" s="107"/>
      <c r="O13" s="114"/>
      <c r="P13" s="114"/>
      <c r="Q13" s="114"/>
      <c r="R13" s="114"/>
      <c r="S13" s="114"/>
      <c r="T13" s="114"/>
      <c r="U13" s="114"/>
      <c r="V13" s="114"/>
      <c r="W13" s="99">
        <f t="shared" si="0"/>
        <v>0</v>
      </c>
      <c r="X13" s="94"/>
      <c r="Y13" s="100"/>
      <c r="Z13" s="48">
        <v>15.629519663260295</v>
      </c>
      <c r="AA13" s="47"/>
      <c r="AB13" s="69">
        <v>0</v>
      </c>
      <c r="AC13" s="63">
        <v>0.3</v>
      </c>
      <c r="AD13" s="49">
        <v>0</v>
      </c>
      <c r="AE13" s="49">
        <v>0</v>
      </c>
      <c r="AF13" s="54"/>
    </row>
    <row r="14" spans="1:33" ht="34.5" customHeight="1" x14ac:dyDescent="0.45">
      <c r="A14" s="310" t="s">
        <v>6</v>
      </c>
      <c r="B14" s="311"/>
      <c r="C14" s="66" t="s">
        <v>7</v>
      </c>
      <c r="D14" s="52" t="s">
        <v>8</v>
      </c>
      <c r="E14" s="51" t="s">
        <v>9</v>
      </c>
      <c r="F14" s="4"/>
      <c r="G14" s="4"/>
      <c r="H14" s="307" t="s">
        <v>71</v>
      </c>
      <c r="I14" s="308"/>
      <c r="J14" s="77" t="s">
        <v>203</v>
      </c>
      <c r="K14" s="78" t="s">
        <v>202</v>
      </c>
      <c r="M14" s="108" t="s">
        <v>16</v>
      </c>
      <c r="N14" s="107"/>
      <c r="O14" s="114"/>
      <c r="P14" s="114"/>
      <c r="Q14" s="114"/>
      <c r="R14" s="114"/>
      <c r="S14" s="114"/>
      <c r="T14" s="114"/>
      <c r="U14" s="114"/>
      <c r="V14" s="114"/>
      <c r="W14" s="99">
        <f t="shared" si="0"/>
        <v>0</v>
      </c>
      <c r="X14" s="94"/>
      <c r="Y14" s="100"/>
      <c r="Z14" s="48">
        <v>2.8183829312644542</v>
      </c>
      <c r="AA14" s="47"/>
      <c r="AB14" s="69">
        <v>0</v>
      </c>
      <c r="AC14" s="63">
        <v>7.4999999999999997E-2</v>
      </c>
      <c r="AD14" s="49">
        <v>2</v>
      </c>
      <c r="AE14" s="49">
        <v>8</v>
      </c>
      <c r="AF14" s="54"/>
    </row>
    <row r="15" spans="1:33" ht="12" customHeight="1" x14ac:dyDescent="0.45">
      <c r="A15" s="340" t="s">
        <v>255</v>
      </c>
      <c r="B15" s="341"/>
      <c r="C15" s="341"/>
      <c r="D15" s="341"/>
      <c r="E15" s="341"/>
      <c r="F15" s="4"/>
      <c r="G15" s="4"/>
      <c r="H15" s="316">
        <f>O24</f>
        <v>1</v>
      </c>
      <c r="I15" s="317"/>
      <c r="J15" s="124" t="str">
        <f>O23</f>
        <v>3/4"</v>
      </c>
      <c r="K15" s="141">
        <f>O25</f>
        <v>0.3</v>
      </c>
      <c r="M15" s="108" t="s">
        <v>17</v>
      </c>
      <c r="N15" s="107"/>
      <c r="O15" s="114"/>
      <c r="P15" s="114"/>
      <c r="Q15" s="114"/>
      <c r="R15" s="114"/>
      <c r="S15" s="114"/>
      <c r="T15" s="114"/>
      <c r="U15" s="114"/>
      <c r="V15" s="114"/>
      <c r="W15" s="99">
        <f t="shared" si="0"/>
        <v>0</v>
      </c>
      <c r="X15" s="94"/>
      <c r="Y15" s="100"/>
      <c r="Z15" s="367" t="s">
        <v>257</v>
      </c>
      <c r="AA15" s="368"/>
      <c r="AF15" s="54"/>
    </row>
    <row r="16" spans="1:33" ht="19.2" x14ac:dyDescent="0.45">
      <c r="A16" s="145" t="s">
        <v>10</v>
      </c>
      <c r="B16" s="125" t="s">
        <v>21</v>
      </c>
      <c r="C16" s="125">
        <f>W7</f>
        <v>99</v>
      </c>
      <c r="D16" s="126" t="str">
        <f>IF(C16&lt;0.1,"",IF($K$12="HMA",CONCATENATE('Data Extract'!I19,"-",'Data Extract'!J19),CONCATENATE('Data Extract'!U19,"-",'Data Extract'!V19)))</f>
        <v>100-100</v>
      </c>
      <c r="E16" s="127" t="str">
        <f>'Data Extract'!Y19</f>
        <v>100-100</v>
      </c>
      <c r="F16" s="65"/>
      <c r="G16" s="65"/>
      <c r="H16" s="316">
        <f>P24</f>
        <v>2</v>
      </c>
      <c r="I16" s="317"/>
      <c r="J16" s="125" t="str">
        <f>P23</f>
        <v>1/2"</v>
      </c>
      <c r="K16" s="141">
        <f>P25</f>
        <v>0.18</v>
      </c>
      <c r="M16" s="108" t="s">
        <v>18</v>
      </c>
      <c r="N16" s="107">
        <v>0.3</v>
      </c>
      <c r="O16" s="114">
        <v>10</v>
      </c>
      <c r="P16" s="114">
        <v>17</v>
      </c>
      <c r="Q16" s="114">
        <v>22</v>
      </c>
      <c r="R16" s="114">
        <v>22</v>
      </c>
      <c r="S16" s="114">
        <v>22</v>
      </c>
      <c r="T16" s="114">
        <v>10</v>
      </c>
      <c r="U16" s="114">
        <v>10</v>
      </c>
      <c r="V16" s="114"/>
      <c r="W16" s="99">
        <f t="shared" si="0"/>
        <v>16</v>
      </c>
      <c r="X16" s="94" t="str">
        <f>D26</f>
        <v>12-20</v>
      </c>
      <c r="Y16" s="100" t="str">
        <f>E26</f>
        <v>5-19</v>
      </c>
      <c r="Z16" s="367" t="s">
        <v>259</v>
      </c>
      <c r="AA16" s="368"/>
      <c r="AF16" s="54"/>
    </row>
    <row r="17" spans="1:32" ht="19.2" x14ac:dyDescent="0.45">
      <c r="A17" s="146" t="s">
        <v>11</v>
      </c>
      <c r="B17" s="125" t="s">
        <v>22</v>
      </c>
      <c r="C17" s="125">
        <f t="shared" ref="C17:C21" si="2">W8</f>
        <v>97</v>
      </c>
      <c r="D17" s="126" t="str">
        <f>IF(C17&lt;0.1,"",IF($K$12="HMA",CONCATENATE('Data Extract'!I20,"-",'Data Extract'!J20),CONCATENATE('Data Extract'!U20,"-",'Data Extract'!V20)))</f>
        <v>90-100</v>
      </c>
      <c r="E17" s="127" t="str">
        <f>'Data Extract'!Y20</f>
        <v>84-97</v>
      </c>
      <c r="F17" s="65"/>
      <c r="G17" s="65"/>
      <c r="H17" s="316">
        <f>Q24</f>
        <v>3</v>
      </c>
      <c r="I17" s="317"/>
      <c r="J17" s="125" t="str">
        <f>Q23</f>
        <v>3/8"</v>
      </c>
      <c r="K17" s="141">
        <f>Q25</f>
        <v>0.12</v>
      </c>
      <c r="M17" s="109" t="s">
        <v>229</v>
      </c>
      <c r="N17" s="110"/>
      <c r="O17" s="115"/>
      <c r="P17" s="115"/>
      <c r="Q17" s="115"/>
      <c r="R17" s="115"/>
      <c r="S17" s="115"/>
      <c r="T17" s="115"/>
      <c r="U17" s="115"/>
      <c r="V17" s="115"/>
      <c r="W17" s="99">
        <f t="shared" si="0"/>
        <v>0</v>
      </c>
      <c r="X17" s="95"/>
      <c r="Y17" s="101"/>
      <c r="AF17" s="54"/>
    </row>
    <row r="18" spans="1:32" ht="15" thickBot="1" x14ac:dyDescent="0.35">
      <c r="A18" s="145" t="s">
        <v>12</v>
      </c>
      <c r="B18" s="125" t="s">
        <v>27</v>
      </c>
      <c r="C18" s="125">
        <f t="shared" si="2"/>
        <v>69</v>
      </c>
      <c r="D18" s="126" t="str">
        <f>IF(C18&lt;0.1,"",IF($K$12="HMA",CONCATENATE('Data Extract'!I21,"-",'Data Extract'!J21),CONCATENATE('Data Extract'!U21,"-",'Data Extract'!V21)))</f>
        <v>62-76</v>
      </c>
      <c r="E18" s="127" t="str">
        <f>'Data Extract'!Y21</f>
        <v>66-82</v>
      </c>
      <c r="F18" s="65"/>
      <c r="G18" s="65"/>
      <c r="H18" s="316">
        <f>R24</f>
        <v>4</v>
      </c>
      <c r="I18" s="317"/>
      <c r="J18" s="125" t="str">
        <f>R23</f>
        <v>Coarse Sand</v>
      </c>
      <c r="K18" s="141">
        <f>R25</f>
        <v>0.15</v>
      </c>
      <c r="M18" s="111" t="s">
        <v>20</v>
      </c>
      <c r="N18" s="112">
        <v>7.4999999999999997E-2</v>
      </c>
      <c r="O18" s="116">
        <v>9</v>
      </c>
      <c r="P18" s="116">
        <v>1</v>
      </c>
      <c r="Q18" s="116">
        <v>10</v>
      </c>
      <c r="R18" s="116">
        <v>10</v>
      </c>
      <c r="S18" s="116">
        <v>10</v>
      </c>
      <c r="T18" s="116">
        <v>9</v>
      </c>
      <c r="U18" s="116">
        <v>2</v>
      </c>
      <c r="V18" s="116"/>
      <c r="W18" s="102">
        <f t="shared" si="0"/>
        <v>8</v>
      </c>
      <c r="X18" s="96" t="str">
        <f>D28</f>
        <v>6-10</v>
      </c>
      <c r="Y18" s="103" t="str">
        <f>E28</f>
        <v>2-7</v>
      </c>
    </row>
    <row r="19" spans="1:32" x14ac:dyDescent="0.3">
      <c r="A19" s="145" t="s">
        <v>13</v>
      </c>
      <c r="B19" s="125" t="s">
        <v>26</v>
      </c>
      <c r="C19" s="125">
        <f t="shared" si="2"/>
        <v>56</v>
      </c>
      <c r="D19" s="126" t="str">
        <f>IF(C19&lt;0.1,"",IF($K$12="HMA",CONCATENATE('Data Extract'!I22,"-",'Data Extract'!J22),CONCATENATE('Data Extract'!U22,"-",'Data Extract'!V22)))</f>
        <v>49-63</v>
      </c>
      <c r="E19" s="127" t="str">
        <f>'Data Extract'!Y22</f>
        <v>56-72</v>
      </c>
      <c r="F19" s="65"/>
      <c r="G19" s="65"/>
      <c r="H19" s="316">
        <f>S24</f>
        <v>5</v>
      </c>
      <c r="I19" s="317"/>
      <c r="J19" s="153" t="str">
        <f>S23</f>
        <v>Man Sand</v>
      </c>
      <c r="K19" s="155">
        <f>S25</f>
        <v>0.1</v>
      </c>
      <c r="M19" s="300" t="s">
        <v>73</v>
      </c>
      <c r="N19" s="286"/>
      <c r="O19" s="286"/>
      <c r="P19" s="286" t="s">
        <v>318</v>
      </c>
      <c r="Q19" s="286"/>
      <c r="R19" s="286"/>
      <c r="S19" s="286"/>
      <c r="T19" s="301"/>
      <c r="U19" s="312"/>
      <c r="V19" s="312"/>
      <c r="W19" s="312"/>
      <c r="X19" s="312"/>
      <c r="Y19" s="312"/>
    </row>
    <row r="20" spans="1:32" ht="15" thickBot="1" x14ac:dyDescent="0.35">
      <c r="A20" s="145" t="s">
        <v>14</v>
      </c>
      <c r="B20" s="125" t="s">
        <v>23</v>
      </c>
      <c r="C20" s="125">
        <f t="shared" si="2"/>
        <v>35</v>
      </c>
      <c r="D20" s="126" t="str">
        <f>IF(C20&lt;0.1,"",IF($K$12="HMA",CONCATENATE('Data Extract'!I23,"-",'Data Extract'!J23),CONCATENATE('Data Extract'!U23,"-",'Data Extract'!V23)))</f>
        <v>28-42</v>
      </c>
      <c r="E20" s="127" t="str">
        <f>'Data Extract'!Y23</f>
        <v>35-50</v>
      </c>
      <c r="F20" s="65">
        <f>C20-7</f>
        <v>28</v>
      </c>
      <c r="G20" s="65">
        <f>C20+7</f>
        <v>42</v>
      </c>
      <c r="H20" s="334">
        <v>6</v>
      </c>
      <c r="I20" s="335"/>
      <c r="J20" s="152" t="s">
        <v>32</v>
      </c>
      <c r="K20" s="156">
        <f>T25</f>
        <v>0.1</v>
      </c>
      <c r="M20" s="273" t="s">
        <v>74</v>
      </c>
      <c r="N20" s="272"/>
      <c r="O20" s="272"/>
      <c r="P20" s="272">
        <v>2023</v>
      </c>
      <c r="Q20" s="272"/>
      <c r="R20" s="272"/>
      <c r="S20" s="272"/>
      <c r="T20" s="284"/>
      <c r="U20" s="312"/>
      <c r="V20" s="312"/>
      <c r="W20" s="312"/>
      <c r="X20" s="312"/>
      <c r="Y20" s="312"/>
    </row>
    <row r="21" spans="1:32" ht="15" thickBot="1" x14ac:dyDescent="0.35">
      <c r="A21" s="145" t="s">
        <v>15</v>
      </c>
      <c r="B21" s="125" t="s">
        <v>28</v>
      </c>
      <c r="C21" s="125">
        <f t="shared" si="2"/>
        <v>28</v>
      </c>
      <c r="D21" s="126" t="str">
        <f>IF(C21&lt;0.1,"",IF($K$12="HMA",CONCATENATE('Data Extract'!I24,"-",'Data Extract'!J24),CONCATENATE('Data Extract'!U24,"-",'Data Extract'!V24)))</f>
        <v>24-32</v>
      </c>
      <c r="E21" s="127" t="str">
        <f>'Data Extract'!Y24</f>
        <v>23-38</v>
      </c>
      <c r="F21" s="65">
        <f>C21-4</f>
        <v>24</v>
      </c>
      <c r="G21" s="65">
        <f>C21+4</f>
        <v>32</v>
      </c>
      <c r="H21" s="336">
        <v>7</v>
      </c>
      <c r="I21" s="337"/>
      <c r="J21" s="157" t="s">
        <v>31</v>
      </c>
      <c r="K21" s="158">
        <f>U25</f>
        <v>0.05</v>
      </c>
      <c r="M21" s="412" t="s">
        <v>181</v>
      </c>
      <c r="N21" s="413"/>
      <c r="O21" s="413"/>
      <c r="P21" s="413"/>
      <c r="Q21" s="413"/>
      <c r="R21" s="413"/>
      <c r="S21" s="413"/>
      <c r="T21" s="413"/>
      <c r="U21" s="413"/>
      <c r="V21" s="413"/>
      <c r="W21" s="414"/>
    </row>
    <row r="22" spans="1:32" ht="42" thickBot="1" x14ac:dyDescent="0.35">
      <c r="A22" s="145" t="s">
        <v>75</v>
      </c>
      <c r="B22" s="125" t="s">
        <v>76</v>
      </c>
      <c r="C22" s="125"/>
      <c r="D22" s="126" t="str">
        <f>IF(C22&lt;0.1,"",IF($K$12="HMA",CONCATENATE('Data Extract'!I25,"-",'Data Extract'!J25),CONCATENATE('Data Extract'!U25,"-",'Data Extract'!V25)))</f>
        <v/>
      </c>
      <c r="E22" s="127" t="str">
        <f>'Data Extract'!Y25</f>
        <v/>
      </c>
      <c r="F22" s="65"/>
      <c r="G22" s="65"/>
      <c r="H22" s="325" t="s">
        <v>147</v>
      </c>
      <c r="I22" s="326"/>
      <c r="J22" s="327"/>
      <c r="K22" s="154" t="s">
        <v>55</v>
      </c>
      <c r="M22" s="410" t="s">
        <v>66</v>
      </c>
      <c r="N22" s="411"/>
      <c r="O22" s="128" t="str">
        <f t="shared" ref="O22:V22" si="3">O3</f>
        <v>BIN Agg Type</v>
      </c>
      <c r="P22" s="128" t="str">
        <f t="shared" si="3"/>
        <v>1/2"</v>
      </c>
      <c r="Q22" s="128" t="str">
        <f t="shared" si="3"/>
        <v>3/8"</v>
      </c>
      <c r="R22" s="128" t="str">
        <f t="shared" si="3"/>
        <v>Coarse Sand</v>
      </c>
      <c r="S22" s="128">
        <f t="shared" si="3"/>
        <v>5</v>
      </c>
      <c r="T22" s="128" t="str">
        <f t="shared" si="3"/>
        <v>CRUSHER FINES</v>
      </c>
      <c r="U22" s="128">
        <f t="shared" si="3"/>
        <v>0</v>
      </c>
      <c r="V22" s="128">
        <f t="shared" si="3"/>
        <v>0</v>
      </c>
      <c r="W22" s="415" t="s">
        <v>190</v>
      </c>
    </row>
    <row r="23" spans="1:32" ht="15.75" customHeight="1" thickBot="1" x14ac:dyDescent="0.35">
      <c r="A23" s="145" t="s">
        <v>16</v>
      </c>
      <c r="B23" s="125" t="s">
        <v>29</v>
      </c>
      <c r="C23" s="125"/>
      <c r="D23" s="126" t="str">
        <f>IF(C23&lt;0.1,"",IF($K$12="HMA",CONCATENATE('Data Extract'!I26,"-",'Data Extract'!J26),CONCATENATE('Data Extract'!U26,"-",'Data Extract'!V26)))</f>
        <v/>
      </c>
      <c r="E23" s="127" t="str">
        <f>'Data Extract'!Y26</f>
        <v/>
      </c>
      <c r="F23" s="65"/>
      <c r="G23" s="65"/>
      <c r="H23" s="321" t="str">
        <f>IF(K22="I","Arterial Streets - Heavy Traffic",IF(K22="II","Collector &amp; Local Street",""))</f>
        <v/>
      </c>
      <c r="I23" s="322"/>
      <c r="J23" s="322"/>
      <c r="K23" s="323"/>
      <c r="M23" s="406" t="s">
        <v>67</v>
      </c>
      <c r="N23" s="407"/>
      <c r="O23" s="129" t="str">
        <f t="shared" ref="O23:V23" si="4">O5</f>
        <v>3/4"</v>
      </c>
      <c r="P23" s="129" t="str">
        <f t="shared" si="4"/>
        <v>1/2"</v>
      </c>
      <c r="Q23" s="129" t="str">
        <f t="shared" si="4"/>
        <v>3/8"</v>
      </c>
      <c r="R23" s="129" t="str">
        <f t="shared" si="4"/>
        <v>Coarse Sand</v>
      </c>
      <c r="S23" s="129" t="str">
        <f t="shared" si="4"/>
        <v>Man Sand</v>
      </c>
      <c r="T23" s="129" t="str">
        <f t="shared" si="4"/>
        <v>Crusher Fines</v>
      </c>
      <c r="U23" s="129" t="str">
        <f t="shared" si="4"/>
        <v>RAP</v>
      </c>
      <c r="V23" s="129" t="str">
        <f t="shared" si="4"/>
        <v>other</v>
      </c>
      <c r="W23" s="416"/>
    </row>
    <row r="24" spans="1:32" x14ac:dyDescent="0.3">
      <c r="A24" s="145" t="s">
        <v>17</v>
      </c>
      <c r="B24" s="125" t="s">
        <v>24</v>
      </c>
      <c r="C24" s="125">
        <f>X19</f>
        <v>0</v>
      </c>
      <c r="D24" s="126" t="str">
        <f>IF(C24&lt;0.1,"",IF($K$12="HMA",CONCATENATE('Data Extract'!I27,"-",'Data Extract'!J27),CONCATENATE('Data Extract'!U27,"-",'Data Extract'!V27)))</f>
        <v/>
      </c>
      <c r="E24" s="127" t="str">
        <f>'Data Extract'!Y27</f>
        <v/>
      </c>
      <c r="F24" s="65"/>
      <c r="G24" s="65"/>
      <c r="H24" s="318" t="str">
        <f>IF(E12&lt;&gt;"UTACS","MARSHALL COMPACTION BLOWS (Each Face) (I-75, II-50)","MARSHALL COMPACTION")</f>
        <v>MARSHALL COMPACTION BLOWS (Each Face) (I-75, II-50)</v>
      </c>
      <c r="I24" s="319"/>
      <c r="J24" s="320"/>
      <c r="K24" s="138" t="str">
        <f>IF(K22="I",75,IF(K22="II",50,"50"))</f>
        <v>50</v>
      </c>
      <c r="M24" s="406" t="s">
        <v>204</v>
      </c>
      <c r="N24" s="407"/>
      <c r="O24" s="130">
        <f t="shared" ref="O24:V24" si="5">O4</f>
        <v>1</v>
      </c>
      <c r="P24" s="130">
        <f t="shared" si="5"/>
        <v>2</v>
      </c>
      <c r="Q24" s="130">
        <f t="shared" si="5"/>
        <v>3</v>
      </c>
      <c r="R24" s="130">
        <f t="shared" si="5"/>
        <v>4</v>
      </c>
      <c r="S24" s="130">
        <f t="shared" si="5"/>
        <v>5</v>
      </c>
      <c r="T24" s="130">
        <f t="shared" si="5"/>
        <v>6</v>
      </c>
      <c r="U24" s="130">
        <f t="shared" si="5"/>
        <v>8</v>
      </c>
      <c r="V24" s="130">
        <f t="shared" si="5"/>
        <v>9</v>
      </c>
      <c r="W24" s="416"/>
    </row>
    <row r="25" spans="1:32" ht="15" hidden="1" customHeight="1" x14ac:dyDescent="0.3">
      <c r="A25" s="145" t="s">
        <v>77</v>
      </c>
      <c r="B25" s="125" t="s">
        <v>102</v>
      </c>
      <c r="C25" s="125">
        <f>X20</f>
        <v>0</v>
      </c>
      <c r="D25" s="126" t="str">
        <f>IF(C25&lt;0.1,"",IF($K$12="HMA",CONCATENATE('Data Extract'!#REF!,"-",'Data Extract'!#REF!),CONCATENATE('Data Extract'!#REF!,"-",'Data Extract'!#REF!)))</f>
        <v/>
      </c>
      <c r="E25" s="127" t="e">
        <f>'Data Extract'!#REF!</f>
        <v>#REF!</v>
      </c>
      <c r="F25" s="65"/>
      <c r="G25" s="65"/>
      <c r="H25" s="318"/>
      <c r="I25" s="319"/>
      <c r="J25" s="320"/>
      <c r="K25" s="55"/>
      <c r="M25" s="408" t="s">
        <v>182</v>
      </c>
      <c r="N25" s="409"/>
      <c r="O25" s="81">
        <f t="shared" ref="O25:V25" si="6">O6</f>
        <v>0.3</v>
      </c>
      <c r="P25" s="81">
        <f t="shared" si="6"/>
        <v>0.18</v>
      </c>
      <c r="Q25" s="81">
        <f t="shared" si="6"/>
        <v>0.12</v>
      </c>
      <c r="R25" s="81">
        <f t="shared" si="6"/>
        <v>0.15</v>
      </c>
      <c r="S25" s="81">
        <f t="shared" si="6"/>
        <v>0.1</v>
      </c>
      <c r="T25" s="81">
        <f t="shared" si="6"/>
        <v>0.1</v>
      </c>
      <c r="U25" s="81">
        <f t="shared" si="6"/>
        <v>0.05</v>
      </c>
      <c r="V25" s="81">
        <f t="shared" si="6"/>
        <v>0</v>
      </c>
      <c r="W25" s="76">
        <f>SUM(O25:V25)</f>
        <v>1</v>
      </c>
    </row>
    <row r="26" spans="1:32" x14ac:dyDescent="0.3">
      <c r="A26" s="145" t="s">
        <v>18</v>
      </c>
      <c r="B26" s="125" t="s">
        <v>25</v>
      </c>
      <c r="C26" s="125">
        <f>W16</f>
        <v>16</v>
      </c>
      <c r="D26" s="126" t="str">
        <f>IF(C26&lt;0.1,"",IF($K$12="HMA",CONCATENATE('Data Extract'!I28,"-",'Data Extract'!J28),CONCATENATE('Data Extract'!U28,"-",'Data Extract'!V28)))</f>
        <v>12-20</v>
      </c>
      <c r="E26" s="127" t="str">
        <f>'Data Extract'!Y28</f>
        <v>5-19</v>
      </c>
      <c r="F26" s="5"/>
      <c r="G26" s="5"/>
      <c r="H26" s="352" t="s">
        <v>315</v>
      </c>
      <c r="I26" s="353"/>
      <c r="J26" s="354"/>
      <c r="K26" s="139"/>
      <c r="M26" s="417" t="s">
        <v>183</v>
      </c>
      <c r="N26" s="418"/>
      <c r="O26" s="418"/>
      <c r="P26" s="418"/>
      <c r="Q26" s="418"/>
      <c r="R26" s="418"/>
      <c r="S26" s="418"/>
      <c r="T26" s="418"/>
      <c r="U26" s="418"/>
      <c r="V26" s="418"/>
      <c r="W26" s="419"/>
    </row>
    <row r="27" spans="1:32" x14ac:dyDescent="0.3">
      <c r="A27" s="145" t="s">
        <v>19</v>
      </c>
      <c r="B27" s="125" t="s">
        <v>30</v>
      </c>
      <c r="C27" s="125">
        <f>X22</f>
        <v>0</v>
      </c>
      <c r="D27" s="126" t="str">
        <f>IF(C27&lt;0.1,"",IF($K$12="HMA",CONCATENATE('Data Extract'!I29,"-",'Data Extract'!J29),CONCATENATE('Data Extract'!U29,"-",'Data Extract'!V29)))</f>
        <v/>
      </c>
      <c r="E27" s="127" t="str">
        <f>'Data Extract'!Y29</f>
        <v/>
      </c>
      <c r="F27" s="65">
        <f>C27-4</f>
        <v>-4</v>
      </c>
      <c r="G27" s="65">
        <f>C27+4</f>
        <v>4</v>
      </c>
      <c r="H27" s="352" t="s">
        <v>43</v>
      </c>
      <c r="I27" s="353"/>
      <c r="J27" s="354"/>
      <c r="K27" s="139"/>
      <c r="M27" s="396" t="s">
        <v>184</v>
      </c>
      <c r="N27" s="397"/>
      <c r="O27" s="73"/>
      <c r="P27" s="73"/>
      <c r="Q27" s="73"/>
      <c r="R27" s="73"/>
      <c r="S27" s="73"/>
      <c r="T27" s="73"/>
      <c r="U27" s="73"/>
      <c r="V27" s="73"/>
      <c r="W27" s="92">
        <f>O27*$O$6+P27*$P$6+Q27*$Q$6+R27*$R$6+S27*$S$6+T27*$T$6+U27*$U$6+V27*$V$6</f>
        <v>0</v>
      </c>
    </row>
    <row r="28" spans="1:32" x14ac:dyDescent="0.3">
      <c r="A28" s="145" t="s">
        <v>20</v>
      </c>
      <c r="B28" s="125" t="s">
        <v>37</v>
      </c>
      <c r="C28" s="125">
        <f>W18</f>
        <v>8</v>
      </c>
      <c r="D28" s="126" t="str">
        <f>IF(C28&lt;0.1,"",IF($K$12="HMA",CONCATENATE('Data Extract'!I30,"-",'Data Extract'!J30),CONCATENATE('Data Extract'!U30,"-",'Data Extract'!V30)))</f>
        <v>6-10</v>
      </c>
      <c r="E28" s="127" t="str">
        <f>'Data Extract'!Y30</f>
        <v>2-7</v>
      </c>
      <c r="F28" s="5"/>
      <c r="G28" s="5"/>
      <c r="H28" s="352" t="s">
        <v>42</v>
      </c>
      <c r="I28" s="353"/>
      <c r="J28" s="354"/>
      <c r="K28" s="139"/>
      <c r="M28" s="396" t="s">
        <v>185</v>
      </c>
      <c r="N28" s="397"/>
      <c r="O28" s="73"/>
      <c r="P28" s="73"/>
      <c r="Q28" s="73"/>
      <c r="R28" s="73"/>
      <c r="S28" s="73"/>
      <c r="T28" s="73"/>
      <c r="U28" s="73"/>
      <c r="V28" s="73"/>
      <c r="W28" s="92">
        <f>O28*$O$6+P28*$P$6+Q28*$Q$6+R28*$R$6+S28*$S$6+T28*$T$6+U28*$U$6+V28*$V$6</f>
        <v>0</v>
      </c>
    </row>
    <row r="29" spans="1:32" ht="6.75" customHeight="1" thickBot="1" x14ac:dyDescent="0.35">
      <c r="A29" s="147"/>
      <c r="B29" s="148"/>
      <c r="C29" s="148"/>
      <c r="D29" s="148"/>
      <c r="E29" s="10"/>
      <c r="F29" s="148"/>
      <c r="G29" s="148"/>
      <c r="H29" s="352" t="s">
        <v>33</v>
      </c>
      <c r="I29" s="353"/>
      <c r="J29" s="354"/>
      <c r="K29" s="355"/>
      <c r="M29" s="362" t="s">
        <v>186</v>
      </c>
      <c r="N29" s="363"/>
      <c r="O29" s="360"/>
      <c r="P29" s="360"/>
      <c r="Q29" s="360"/>
      <c r="R29" s="360"/>
      <c r="S29" s="360"/>
      <c r="T29" s="360"/>
      <c r="U29" s="360"/>
      <c r="V29" s="360"/>
      <c r="W29" s="398">
        <f>O29*$O$6+P29*$P$6+Q29*$Q$6+R29*$R$6+S29*$S$6+T29*$T$6+U29*$U$6+V29*$V$6</f>
        <v>0</v>
      </c>
    </row>
    <row r="30" spans="1:32" ht="15" customHeight="1" x14ac:dyDescent="0.3">
      <c r="A30" s="344" t="s">
        <v>35</v>
      </c>
      <c r="B30" s="345"/>
      <c r="C30" s="345"/>
      <c r="D30" s="348"/>
      <c r="E30" s="305" t="str">
        <f>IF(D30="","",CONCATENATE(D30-0.2,"-",D30+0.2))</f>
        <v/>
      </c>
      <c r="F30" s="6"/>
      <c r="G30" s="6"/>
      <c r="H30" s="352"/>
      <c r="I30" s="353"/>
      <c r="J30" s="354"/>
      <c r="K30" s="356"/>
      <c r="M30" s="364"/>
      <c r="N30" s="365"/>
      <c r="O30" s="361"/>
      <c r="P30" s="361"/>
      <c r="Q30" s="361"/>
      <c r="R30" s="361"/>
      <c r="S30" s="361"/>
      <c r="T30" s="361"/>
      <c r="U30" s="361"/>
      <c r="V30" s="361"/>
      <c r="W30" s="399"/>
    </row>
    <row r="31" spans="1:32" ht="27.75" customHeight="1" thickBot="1" x14ac:dyDescent="0.35">
      <c r="A31" s="346"/>
      <c r="B31" s="347"/>
      <c r="C31" s="347"/>
      <c r="D31" s="349"/>
      <c r="E31" s="306"/>
      <c r="F31" s="6"/>
      <c r="G31" s="6"/>
      <c r="H31" s="357" t="s">
        <v>34</v>
      </c>
      <c r="I31" s="358"/>
      <c r="J31" s="359"/>
      <c r="K31" s="139"/>
      <c r="M31" s="396" t="s">
        <v>187</v>
      </c>
      <c r="N31" s="397"/>
      <c r="O31" s="73"/>
      <c r="P31" s="73"/>
      <c r="Q31" s="73"/>
      <c r="R31" s="73"/>
      <c r="S31" s="73"/>
      <c r="T31" s="73"/>
      <c r="U31" s="73"/>
      <c r="V31" s="73"/>
      <c r="W31" s="92">
        <f>O31*$O$6+P31*$P$6+Q31*$Q$6+R31*$R$6+S31*$S$6+T31*$T$6+U31*$U$6+V31*$V$6</f>
        <v>0</v>
      </c>
    </row>
    <row r="32" spans="1:32" x14ac:dyDescent="0.3">
      <c r="A32" s="350" t="s">
        <v>120</v>
      </c>
      <c r="B32" s="351"/>
      <c r="C32" s="351"/>
      <c r="D32" s="133"/>
      <c r="E32" s="134" t="s">
        <v>316</v>
      </c>
      <c r="F32" s="1"/>
      <c r="G32" s="1"/>
      <c r="H32" s="352" t="s">
        <v>36</v>
      </c>
      <c r="I32" s="353"/>
      <c r="J32" s="354"/>
      <c r="K32" s="139"/>
      <c r="M32" s="420" t="s">
        <v>188</v>
      </c>
      <c r="N32" s="421"/>
      <c r="O32" s="421"/>
      <c r="P32" s="421"/>
      <c r="Q32" s="421"/>
      <c r="R32" s="421"/>
      <c r="S32" s="421"/>
      <c r="T32" s="421"/>
      <c r="U32" s="421"/>
      <c r="V32" s="421"/>
      <c r="W32" s="422"/>
    </row>
    <row r="33" spans="1:23" x14ac:dyDescent="0.3">
      <c r="A33" s="342" t="s">
        <v>52</v>
      </c>
      <c r="B33" s="343"/>
      <c r="C33" s="343"/>
      <c r="D33" s="14"/>
      <c r="E33" s="135" t="str">
        <f>IF(E12="UTACS","4% MIN",IF(K21="I","3-5", "3-5"))</f>
        <v>3-5</v>
      </c>
      <c r="F33" s="7"/>
      <c r="G33" s="7"/>
      <c r="H33" s="352" t="s">
        <v>44</v>
      </c>
      <c r="I33" s="353"/>
      <c r="J33" s="354"/>
      <c r="K33" s="55"/>
      <c r="M33" s="396" t="s">
        <v>184</v>
      </c>
      <c r="N33" s="397"/>
      <c r="O33" s="73"/>
      <c r="P33" s="73"/>
      <c r="Q33" s="73"/>
      <c r="R33" s="73"/>
      <c r="S33" s="73"/>
      <c r="T33" s="73"/>
      <c r="U33" s="73"/>
      <c r="V33" s="73"/>
      <c r="W33" s="92">
        <f>O33*$O$6+P33*$P$6+Q33*$Q$6+R33*$R$6+S33*$S$6+T33*$T$6+U33*$U$6+V33*$V$6</f>
        <v>0</v>
      </c>
    </row>
    <row r="34" spans="1:23" ht="15" x14ac:dyDescent="0.3">
      <c r="A34" s="342" t="s">
        <v>51</v>
      </c>
      <c r="B34" s="343"/>
      <c r="C34" s="343"/>
      <c r="D34" s="14"/>
      <c r="E34" s="135" t="str">
        <f>IF(E12="utacs","N/A",IF(K21="I","1800 Min", "1500 Min"))</f>
        <v>1500 Min</v>
      </c>
      <c r="F34" s="7"/>
      <c r="G34" s="7"/>
      <c r="H34" s="352" t="s">
        <v>160</v>
      </c>
      <c r="I34" s="353"/>
      <c r="J34" s="354"/>
      <c r="K34" s="55"/>
      <c r="M34" s="362" t="s">
        <v>185</v>
      </c>
      <c r="N34" s="363"/>
      <c r="O34" s="360"/>
      <c r="P34" s="360"/>
      <c r="Q34" s="360"/>
      <c r="R34" s="360"/>
      <c r="S34" s="360"/>
      <c r="T34" s="360"/>
      <c r="U34" s="360"/>
      <c r="V34" s="360"/>
      <c r="W34" s="398">
        <v>0</v>
      </c>
    </row>
    <row r="35" spans="1:23" ht="15" thickBot="1" x14ac:dyDescent="0.35">
      <c r="A35" s="274" t="s">
        <v>50</v>
      </c>
      <c r="B35" s="275"/>
      <c r="C35" s="275"/>
      <c r="D35" s="136"/>
      <c r="E35" s="137" t="str">
        <f>IF(E12="UTACS","N/A",IF(K21="I","8-14","8-16"))</f>
        <v>8-16</v>
      </c>
      <c r="F35" s="149"/>
      <c r="G35" s="149"/>
      <c r="H35" s="279" t="s">
        <v>161</v>
      </c>
      <c r="I35" s="280"/>
      <c r="J35" s="281"/>
      <c r="K35" s="140"/>
      <c r="M35" s="364"/>
      <c r="N35" s="365"/>
      <c r="O35" s="361"/>
      <c r="P35" s="361"/>
      <c r="Q35" s="361"/>
      <c r="R35" s="361"/>
      <c r="S35" s="361"/>
      <c r="T35" s="361"/>
      <c r="U35" s="361"/>
      <c r="V35" s="361"/>
      <c r="W35" s="399"/>
    </row>
    <row r="36" spans="1:23" x14ac:dyDescent="0.3">
      <c r="A36" s="296" t="s">
        <v>45</v>
      </c>
      <c r="B36" s="292" t="s">
        <v>53</v>
      </c>
      <c r="C36" s="292"/>
      <c r="D36" s="292"/>
      <c r="E36" s="292"/>
      <c r="F36" s="292"/>
      <c r="G36" s="292"/>
      <c r="H36" s="292"/>
      <c r="I36" s="292"/>
      <c r="J36" s="292"/>
      <c r="K36" s="293"/>
      <c r="M36" s="396" t="s">
        <v>186</v>
      </c>
      <c r="N36" s="397"/>
      <c r="O36" s="73"/>
      <c r="P36" s="73"/>
      <c r="Q36" s="73"/>
      <c r="R36" s="73"/>
      <c r="S36" s="73"/>
      <c r="T36" s="73"/>
      <c r="U36" s="73"/>
      <c r="V36" s="73"/>
      <c r="W36" s="92">
        <f>O36*$O$6+P36*$P$6+Q36*$Q$6+R36*$R$6+S36*$S$6+T36*$T$6+U36*$U$6+V36*$V$6</f>
        <v>0</v>
      </c>
    </row>
    <row r="37" spans="1:23" x14ac:dyDescent="0.3">
      <c r="A37" s="297"/>
      <c r="B37" s="294"/>
      <c r="C37" s="294"/>
      <c r="D37" s="294"/>
      <c r="E37" s="294"/>
      <c r="F37" s="294"/>
      <c r="G37" s="294"/>
      <c r="H37" s="294"/>
      <c r="I37" s="294"/>
      <c r="J37" s="294"/>
      <c r="K37" s="295"/>
      <c r="M37" s="396" t="s">
        <v>187</v>
      </c>
      <c r="N37" s="397"/>
      <c r="O37" s="73"/>
      <c r="P37" s="73"/>
      <c r="Q37" s="73"/>
      <c r="R37" s="73"/>
      <c r="S37" s="73"/>
      <c r="T37" s="73"/>
      <c r="U37" s="73"/>
      <c r="V37" s="73"/>
      <c r="W37" s="92">
        <f>O37*$O$6+P37*$P$6+Q37*$Q$6+R37*$R$6+S37*$S$6+T37*$T$6+U37*$U$6+V37*$V$6</f>
        <v>0</v>
      </c>
    </row>
    <row r="38" spans="1:23" x14ac:dyDescent="0.3">
      <c r="A38" s="285"/>
      <c r="B38" s="282"/>
      <c r="C38" s="282"/>
      <c r="D38" s="282"/>
      <c r="E38" s="282"/>
      <c r="F38" s="67"/>
      <c r="G38" s="67"/>
      <c r="H38" s="339"/>
      <c r="I38" s="339"/>
      <c r="J38" s="282" t="s">
        <v>111</v>
      </c>
      <c r="K38" s="283"/>
      <c r="M38" s="420" t="s">
        <v>189</v>
      </c>
      <c r="N38" s="421"/>
      <c r="O38" s="421"/>
      <c r="P38" s="421"/>
      <c r="Q38" s="421"/>
      <c r="R38" s="421"/>
      <c r="S38" s="421"/>
      <c r="T38" s="421"/>
      <c r="U38" s="421"/>
      <c r="V38" s="421"/>
      <c r="W38" s="422"/>
    </row>
    <row r="39" spans="1:23" x14ac:dyDescent="0.3">
      <c r="A39" s="285" t="s">
        <v>38</v>
      </c>
      <c r="B39" s="282"/>
      <c r="C39" s="338"/>
      <c r="D39" s="338"/>
      <c r="E39" s="338"/>
      <c r="F39" s="150"/>
      <c r="G39" s="150"/>
      <c r="H39" s="339"/>
      <c r="I39" s="339"/>
      <c r="J39" s="276"/>
      <c r="K39" s="287"/>
      <c r="M39" s="396" t="s">
        <v>186</v>
      </c>
      <c r="N39" s="397"/>
      <c r="O39" s="73"/>
      <c r="P39" s="73"/>
      <c r="Q39" s="73"/>
      <c r="R39" s="73"/>
      <c r="S39" s="73"/>
      <c r="T39" s="73"/>
      <c r="U39" s="73"/>
      <c r="V39" s="73"/>
      <c r="W39" s="92">
        <f>O39*$O$6+P39*$P$6+Q39*$Q$6+R39*$R$6+S39*$S$6+T39*$T$6+U39*$U$6+V39*$V$6</f>
        <v>0</v>
      </c>
    </row>
    <row r="40" spans="1:23" x14ac:dyDescent="0.3">
      <c r="A40" s="285" t="s">
        <v>39</v>
      </c>
      <c r="B40" s="282"/>
      <c r="C40" s="298"/>
      <c r="D40" s="298"/>
      <c r="E40" s="298"/>
      <c r="F40" s="151"/>
      <c r="G40" s="151"/>
      <c r="H40" s="339"/>
      <c r="I40" s="339"/>
      <c r="J40" s="282"/>
      <c r="K40" s="283"/>
      <c r="M40" s="425" t="s">
        <v>190</v>
      </c>
      <c r="N40" s="426"/>
      <c r="O40" s="426"/>
      <c r="P40" s="426"/>
      <c r="Q40" s="426"/>
      <c r="R40" s="426"/>
      <c r="S40" s="426"/>
      <c r="T40" s="426"/>
      <c r="U40" s="427"/>
      <c r="V40" s="13" t="s">
        <v>324</v>
      </c>
      <c r="W40" s="75" t="s">
        <v>214</v>
      </c>
    </row>
    <row r="41" spans="1:23" x14ac:dyDescent="0.3">
      <c r="A41" s="285"/>
      <c r="B41" s="282"/>
      <c r="C41" s="282"/>
      <c r="D41" s="282"/>
      <c r="E41" s="282"/>
      <c r="F41" s="67"/>
      <c r="G41" s="67"/>
      <c r="H41" s="339"/>
      <c r="I41" s="339"/>
      <c r="J41" s="282"/>
      <c r="K41" s="283"/>
      <c r="M41" s="425" t="s">
        <v>184</v>
      </c>
      <c r="N41" s="426"/>
      <c r="O41" s="426"/>
      <c r="P41" s="426"/>
      <c r="Q41" s="426"/>
      <c r="R41" s="426"/>
      <c r="S41" s="426"/>
      <c r="T41" s="426"/>
      <c r="U41" s="427"/>
      <c r="V41" s="90">
        <f>W27+W33</f>
        <v>0</v>
      </c>
      <c r="W41" s="89"/>
    </row>
    <row r="42" spans="1:23" ht="16.5" customHeight="1" x14ac:dyDescent="0.3">
      <c r="A42" s="285"/>
      <c r="B42" s="282"/>
      <c r="C42" s="282"/>
      <c r="D42" s="282"/>
      <c r="E42" s="282"/>
      <c r="F42" s="67"/>
      <c r="G42" s="67"/>
      <c r="H42" s="339"/>
      <c r="I42" s="339"/>
      <c r="J42" s="282"/>
      <c r="K42" s="283"/>
      <c r="M42" s="425" t="s">
        <v>185</v>
      </c>
      <c r="N42" s="426"/>
      <c r="O42" s="426"/>
      <c r="P42" s="426"/>
      <c r="Q42" s="426"/>
      <c r="R42" s="426"/>
      <c r="S42" s="426"/>
      <c r="T42" s="426"/>
      <c r="U42" s="427"/>
      <c r="V42" s="90">
        <f>W28+W34</f>
        <v>0</v>
      </c>
      <c r="W42" s="89"/>
    </row>
    <row r="43" spans="1:23" ht="15" thickBot="1" x14ac:dyDescent="0.35">
      <c r="A43" s="273"/>
      <c r="B43" s="272"/>
      <c r="C43" s="272"/>
      <c r="D43" s="272"/>
      <c r="E43" s="272"/>
      <c r="F43" s="67"/>
      <c r="G43" s="67"/>
      <c r="H43" s="339"/>
      <c r="I43" s="339"/>
      <c r="J43" s="282"/>
      <c r="K43" s="283"/>
      <c r="M43" s="425" t="s">
        <v>186</v>
      </c>
      <c r="N43" s="426"/>
      <c r="O43" s="426"/>
      <c r="P43" s="426"/>
      <c r="Q43" s="426"/>
      <c r="R43" s="426"/>
      <c r="S43" s="426"/>
      <c r="T43" s="426"/>
      <c r="U43" s="427"/>
      <c r="V43" s="90">
        <f>W39</f>
        <v>0</v>
      </c>
      <c r="W43" s="89"/>
    </row>
    <row r="44" spans="1:23" x14ac:dyDescent="0.3">
      <c r="A44" s="288" t="s">
        <v>40</v>
      </c>
      <c r="B44" s="289"/>
      <c r="C44" s="286"/>
      <c r="D44" s="286"/>
      <c r="E44" s="286"/>
      <c r="F44" s="67"/>
      <c r="G44" s="67"/>
      <c r="H44" s="339"/>
      <c r="I44" s="339"/>
      <c r="J44" s="282"/>
      <c r="K44" s="283"/>
      <c r="M44" s="425" t="s">
        <v>187</v>
      </c>
      <c r="N44" s="426"/>
      <c r="O44" s="426"/>
      <c r="P44" s="426"/>
      <c r="Q44" s="426"/>
      <c r="R44" s="426"/>
      <c r="S44" s="426"/>
      <c r="T44" s="426"/>
      <c r="U44" s="427"/>
      <c r="V44" s="91">
        <f>(W31+W37)/2</f>
        <v>0</v>
      </c>
      <c r="W44" s="89"/>
    </row>
    <row r="45" spans="1:23" ht="14.25" customHeight="1" x14ac:dyDescent="0.3">
      <c r="A45" s="290"/>
      <c r="B45" s="291"/>
      <c r="C45" s="282"/>
      <c r="D45" s="282"/>
      <c r="E45" s="282"/>
      <c r="F45" s="67"/>
      <c r="G45" s="67"/>
      <c r="H45" s="339"/>
      <c r="I45" s="339"/>
      <c r="J45" s="282"/>
      <c r="K45" s="283"/>
      <c r="M45" s="385" t="s">
        <v>207</v>
      </c>
      <c r="N45" s="386"/>
      <c r="O45" s="386"/>
      <c r="P45" s="386"/>
      <c r="Q45" s="386"/>
      <c r="R45" s="386"/>
      <c r="S45" s="386"/>
      <c r="T45" s="386"/>
      <c r="U45" s="386"/>
      <c r="V45" s="386"/>
      <c r="W45" s="387"/>
    </row>
    <row r="46" spans="1:23" ht="15.75" customHeight="1" x14ac:dyDescent="0.3">
      <c r="A46" s="277" t="s">
        <v>41</v>
      </c>
      <c r="B46" s="278"/>
      <c r="C46" s="276"/>
      <c r="D46" s="276"/>
      <c r="E46" s="276"/>
      <c r="F46" s="67"/>
      <c r="G46" s="67"/>
      <c r="H46" s="339"/>
      <c r="I46" s="339"/>
      <c r="J46" s="282"/>
      <c r="K46" s="283"/>
      <c r="M46" s="381" t="s">
        <v>191</v>
      </c>
      <c r="N46" s="382"/>
      <c r="O46" s="114"/>
      <c r="P46" s="114"/>
      <c r="Q46" s="114"/>
      <c r="R46" s="114"/>
      <c r="S46" s="114"/>
      <c r="T46" s="114"/>
      <c r="U46" s="114"/>
      <c r="V46" s="114"/>
      <c r="W46" s="142" t="str">
        <f>IF('1 MIX DESIGN FORM'!$K$21="I","95% MIN","95%MIN")</f>
        <v>95%MIN</v>
      </c>
    </row>
    <row r="47" spans="1:23" ht="15" thickBot="1" x14ac:dyDescent="0.35">
      <c r="A47" s="273"/>
      <c r="B47" s="272"/>
      <c r="C47" s="272"/>
      <c r="D47" s="272"/>
      <c r="E47" s="272"/>
      <c r="F47" s="272"/>
      <c r="G47" s="272"/>
      <c r="H47" s="272"/>
      <c r="I47" s="272"/>
      <c r="J47" s="272"/>
      <c r="K47" s="284"/>
      <c r="M47" s="381" t="s">
        <v>192</v>
      </c>
      <c r="N47" s="382"/>
      <c r="O47" s="114"/>
      <c r="P47" s="114"/>
      <c r="Q47" s="114"/>
      <c r="R47" s="114"/>
      <c r="S47" s="114"/>
      <c r="T47" s="114"/>
      <c r="U47" s="114"/>
      <c r="V47" s="114"/>
      <c r="W47" s="142" t="b">
        <f>IF($K$22="I","90% MIN",IF($K$22="II","35% MIN,""85% MIN"))</f>
        <v>0</v>
      </c>
    </row>
    <row r="48" spans="1:23" hidden="1" x14ac:dyDescent="0.3">
      <c r="D48" t="s">
        <v>64</v>
      </c>
      <c r="E48" t="s">
        <v>58</v>
      </c>
      <c r="J48" s="3" t="s">
        <v>55</v>
      </c>
      <c r="K48" s="3" t="s">
        <v>48</v>
      </c>
      <c r="M48" s="381" t="s">
        <v>213</v>
      </c>
      <c r="N48" s="382"/>
      <c r="O48" s="114"/>
      <c r="P48" s="114"/>
      <c r="Q48" s="114"/>
      <c r="R48" s="114"/>
      <c r="S48" s="114"/>
      <c r="T48" s="114"/>
      <c r="U48" s="114"/>
      <c r="V48" s="114"/>
      <c r="W48" s="142" t="str">
        <f>IF(K12="utacs","35% MAX","30% MAX")</f>
        <v>30% MAX</v>
      </c>
    </row>
    <row r="49" spans="1:23" hidden="1" x14ac:dyDescent="0.3">
      <c r="D49" t="s">
        <v>65</v>
      </c>
      <c r="E49" t="s">
        <v>59</v>
      </c>
      <c r="J49" s="3" t="s">
        <v>56</v>
      </c>
      <c r="K49" t="s">
        <v>49</v>
      </c>
      <c r="M49" s="388" t="s">
        <v>193</v>
      </c>
      <c r="N49" s="389"/>
      <c r="O49" s="392"/>
      <c r="P49" s="392"/>
      <c r="Q49" s="392"/>
      <c r="R49" s="392"/>
      <c r="S49" s="392"/>
      <c r="T49" s="392"/>
      <c r="U49" s="392"/>
      <c r="V49" s="392"/>
      <c r="W49" s="394" t="s">
        <v>208</v>
      </c>
    </row>
    <row r="50" spans="1:23" x14ac:dyDescent="0.3">
      <c r="M50" s="390"/>
      <c r="N50" s="391"/>
      <c r="O50" s="393"/>
      <c r="P50" s="393"/>
      <c r="Q50" s="393"/>
      <c r="R50" s="393"/>
      <c r="S50" s="393"/>
      <c r="T50" s="393"/>
      <c r="U50" s="393"/>
      <c r="V50" s="393"/>
      <c r="W50" s="395"/>
    </row>
    <row r="51" spans="1:23" x14ac:dyDescent="0.3">
      <c r="K51" s="2"/>
      <c r="M51" s="381" t="s">
        <v>194</v>
      </c>
      <c r="N51" s="382"/>
      <c r="O51" s="114"/>
      <c r="P51" s="114"/>
      <c r="Q51" s="114"/>
      <c r="R51" s="114"/>
      <c r="S51" s="114"/>
      <c r="T51" s="114"/>
      <c r="U51" s="114"/>
      <c r="V51" s="114"/>
      <c r="W51" s="142" t="s">
        <v>209</v>
      </c>
    </row>
    <row r="52" spans="1:23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M52" s="381" t="s">
        <v>195</v>
      </c>
      <c r="N52" s="382"/>
      <c r="O52" s="114"/>
      <c r="P52" s="114"/>
      <c r="Q52" s="114"/>
      <c r="R52" s="114"/>
      <c r="S52" s="114"/>
      <c r="T52" s="114"/>
      <c r="U52" s="114"/>
      <c r="V52" s="114"/>
      <c r="W52" s="142" t="s">
        <v>210</v>
      </c>
    </row>
    <row r="53" spans="1:23" x14ac:dyDescent="0.3">
      <c r="M53" s="381" t="s">
        <v>196</v>
      </c>
      <c r="N53" s="382"/>
      <c r="O53" s="114"/>
      <c r="P53" s="114"/>
      <c r="Q53" s="114"/>
      <c r="R53" s="114"/>
      <c r="S53" s="114"/>
      <c r="T53" s="114"/>
      <c r="U53" s="114"/>
      <c r="V53" s="114"/>
      <c r="W53" s="142" t="str">
        <f>IF('1 MIX DESIGN FORM'!W42="I","45%","N/A")</f>
        <v>N/A</v>
      </c>
    </row>
    <row r="54" spans="1:23" x14ac:dyDescent="0.3">
      <c r="M54" s="381" t="s">
        <v>197</v>
      </c>
      <c r="N54" s="382"/>
      <c r="O54" s="114"/>
      <c r="P54" s="114"/>
      <c r="Q54" s="114"/>
      <c r="R54" s="114"/>
      <c r="S54" s="114"/>
      <c r="T54" s="114"/>
      <c r="U54" s="114"/>
      <c r="V54" s="114"/>
      <c r="W54" s="142" t="str">
        <f>IF('1 MIX DESIGN FORM'!W42="I","10% MAX",IF('1 MIX DESIGN FORM'!Q33="utacs","25 MAX","N/A"))</f>
        <v>N/A</v>
      </c>
    </row>
    <row r="55" spans="1:23" x14ac:dyDescent="0.3">
      <c r="M55" s="381" t="s">
        <v>198</v>
      </c>
      <c r="N55" s="382"/>
      <c r="O55" s="114"/>
      <c r="P55" s="114"/>
      <c r="Q55" s="114"/>
      <c r="R55" s="114"/>
      <c r="S55" s="114"/>
      <c r="T55" s="114"/>
      <c r="U55" s="114"/>
      <c r="V55" s="114"/>
      <c r="W55" s="142" t="str">
        <f>IF(K12="UTACS","18 MAX","8% MAX")</f>
        <v>8% MAX</v>
      </c>
    </row>
    <row r="56" spans="1:23" x14ac:dyDescent="0.3">
      <c r="M56" s="381" t="s">
        <v>199</v>
      </c>
      <c r="N56" s="382"/>
      <c r="O56" s="114"/>
      <c r="P56" s="114"/>
      <c r="Q56" s="114"/>
      <c r="R56" s="114"/>
      <c r="S56" s="114"/>
      <c r="T56" s="114"/>
      <c r="U56" s="114"/>
      <c r="V56" s="114"/>
      <c r="W56" s="142" t="s">
        <v>211</v>
      </c>
    </row>
    <row r="57" spans="1:23" x14ac:dyDescent="0.3">
      <c r="M57" s="381" t="s">
        <v>200</v>
      </c>
      <c r="N57" s="382"/>
      <c r="O57" s="114"/>
      <c r="P57" s="114"/>
      <c r="Q57" s="114"/>
      <c r="R57" s="114"/>
      <c r="S57" s="114"/>
      <c r="T57" s="114"/>
      <c r="U57" s="114"/>
      <c r="V57" s="114"/>
      <c r="W57" s="142" t="s">
        <v>220</v>
      </c>
    </row>
    <row r="58" spans="1:23" ht="15" thickBot="1" x14ac:dyDescent="0.35">
      <c r="M58" s="383" t="s">
        <v>201</v>
      </c>
      <c r="N58" s="384"/>
      <c r="O58" s="116"/>
      <c r="P58" s="116"/>
      <c r="Q58" s="116"/>
      <c r="R58" s="116"/>
      <c r="S58" s="116"/>
      <c r="T58" s="116"/>
      <c r="U58" s="116"/>
      <c r="V58" s="116"/>
      <c r="W58" s="143" t="s">
        <v>212</v>
      </c>
    </row>
  </sheetData>
  <mergeCells count="151">
    <mergeCell ref="M2:Y2"/>
    <mergeCell ref="M27:N27"/>
    <mergeCell ref="M28:N28"/>
    <mergeCell ref="M40:U40"/>
    <mergeCell ref="M41:U41"/>
    <mergeCell ref="M42:U42"/>
    <mergeCell ref="M43:U43"/>
    <mergeCell ref="M44:U44"/>
    <mergeCell ref="M38:W38"/>
    <mergeCell ref="M37:N37"/>
    <mergeCell ref="M39:N39"/>
    <mergeCell ref="R34:R35"/>
    <mergeCell ref="S34:S35"/>
    <mergeCell ref="T34:T35"/>
    <mergeCell ref="U34:U35"/>
    <mergeCell ref="M33:N33"/>
    <mergeCell ref="M36:N36"/>
    <mergeCell ref="M29:N30"/>
    <mergeCell ref="W34:W35"/>
    <mergeCell ref="M3:N3"/>
    <mergeCell ref="M4:N4"/>
    <mergeCell ref="M5:N5"/>
    <mergeCell ref="M6:N6"/>
    <mergeCell ref="M24:N24"/>
    <mergeCell ref="M25:N25"/>
    <mergeCell ref="M23:N23"/>
    <mergeCell ref="M22:N22"/>
    <mergeCell ref="M21:W21"/>
    <mergeCell ref="W22:W24"/>
    <mergeCell ref="M26:W26"/>
    <mergeCell ref="M32:W32"/>
    <mergeCell ref="W29:W30"/>
    <mergeCell ref="R29:R30"/>
    <mergeCell ref="S29:S30"/>
    <mergeCell ref="T29:T30"/>
    <mergeCell ref="U29:U30"/>
    <mergeCell ref="V29:V30"/>
    <mergeCell ref="Y5:Y6"/>
    <mergeCell ref="M54:N54"/>
    <mergeCell ref="M55:N55"/>
    <mergeCell ref="M56:N56"/>
    <mergeCell ref="M57:N57"/>
    <mergeCell ref="M58:N58"/>
    <mergeCell ref="M45:W45"/>
    <mergeCell ref="M48:N48"/>
    <mergeCell ref="M53:N53"/>
    <mergeCell ref="M52:N52"/>
    <mergeCell ref="M47:N47"/>
    <mergeCell ref="M46:N46"/>
    <mergeCell ref="M51:N51"/>
    <mergeCell ref="M49:N50"/>
    <mergeCell ref="O49:O50"/>
    <mergeCell ref="P49:P50"/>
    <mergeCell ref="Q49:Q50"/>
    <mergeCell ref="R49:R50"/>
    <mergeCell ref="S49:S50"/>
    <mergeCell ref="T49:T50"/>
    <mergeCell ref="U49:U50"/>
    <mergeCell ref="V49:V50"/>
    <mergeCell ref="W49:W50"/>
    <mergeCell ref="M31:N31"/>
    <mergeCell ref="V34:V35"/>
    <mergeCell ref="M34:N35"/>
    <mergeCell ref="O34:O35"/>
    <mergeCell ref="P34:P35"/>
    <mergeCell ref="Q34:Q35"/>
    <mergeCell ref="O29:O30"/>
    <mergeCell ref="P29:P30"/>
    <mergeCell ref="Q29:Q30"/>
    <mergeCell ref="AC4:AE5"/>
    <mergeCell ref="M19:O19"/>
    <mergeCell ref="M20:O20"/>
    <mergeCell ref="P19:T19"/>
    <mergeCell ref="U19:Y20"/>
    <mergeCell ref="Z15:AA15"/>
    <mergeCell ref="P20:T20"/>
    <mergeCell ref="Z16:AA16"/>
    <mergeCell ref="W3:W5"/>
    <mergeCell ref="X3:X4"/>
    <mergeCell ref="Y3:Y4"/>
    <mergeCell ref="Z3:AB3"/>
    <mergeCell ref="Z4:Z5"/>
    <mergeCell ref="AA4:AA5"/>
    <mergeCell ref="AB4:AB5"/>
    <mergeCell ref="X5:X6"/>
    <mergeCell ref="I8:J8"/>
    <mergeCell ref="A8:H8"/>
    <mergeCell ref="I7:J7"/>
    <mergeCell ref="H16:I16"/>
    <mergeCell ref="H20:I20"/>
    <mergeCell ref="H21:I21"/>
    <mergeCell ref="C39:E39"/>
    <mergeCell ref="H38:I46"/>
    <mergeCell ref="A15:E15"/>
    <mergeCell ref="A33:C33"/>
    <mergeCell ref="A34:C34"/>
    <mergeCell ref="A30:C31"/>
    <mergeCell ref="D30:D31"/>
    <mergeCell ref="A32:C32"/>
    <mergeCell ref="H26:J26"/>
    <mergeCell ref="H25:J25"/>
    <mergeCell ref="H27:J27"/>
    <mergeCell ref="H28:J28"/>
    <mergeCell ref="H34:J34"/>
    <mergeCell ref="H33:J33"/>
    <mergeCell ref="H32:J32"/>
    <mergeCell ref="H29:J30"/>
    <mergeCell ref="H31:J31"/>
    <mergeCell ref="A1:K1"/>
    <mergeCell ref="A2:B5"/>
    <mergeCell ref="K2:K5"/>
    <mergeCell ref="C2:J2"/>
    <mergeCell ref="E30:E31"/>
    <mergeCell ref="A13:E13"/>
    <mergeCell ref="A14:B14"/>
    <mergeCell ref="A9:K9"/>
    <mergeCell ref="A10:K11"/>
    <mergeCell ref="C3:J3"/>
    <mergeCell ref="C4:J4"/>
    <mergeCell ref="C5:J5"/>
    <mergeCell ref="A12:D12"/>
    <mergeCell ref="A7:H7"/>
    <mergeCell ref="A6:H6"/>
    <mergeCell ref="H17:I17"/>
    <mergeCell ref="H14:I14"/>
    <mergeCell ref="H18:I18"/>
    <mergeCell ref="H24:J24"/>
    <mergeCell ref="H23:K23"/>
    <mergeCell ref="H19:I19"/>
    <mergeCell ref="H15:I15"/>
    <mergeCell ref="I6:J6"/>
    <mergeCell ref="H22:J22"/>
    <mergeCell ref="H12:J12"/>
    <mergeCell ref="A47:I47"/>
    <mergeCell ref="A35:C35"/>
    <mergeCell ref="C46:E46"/>
    <mergeCell ref="A46:B46"/>
    <mergeCell ref="H35:J35"/>
    <mergeCell ref="J40:K47"/>
    <mergeCell ref="A41:E43"/>
    <mergeCell ref="C44:E45"/>
    <mergeCell ref="J38:K39"/>
    <mergeCell ref="A44:B45"/>
    <mergeCell ref="B36:K37"/>
    <mergeCell ref="A36:A37"/>
    <mergeCell ref="A38:E38"/>
    <mergeCell ref="A40:B40"/>
    <mergeCell ref="C40:E40"/>
    <mergeCell ref="A39:B39"/>
    <mergeCell ref="H13:K13"/>
    <mergeCell ref="K29:K30"/>
  </mergeCells>
  <phoneticPr fontId="12" type="noConversion"/>
  <conditionalFormatting sqref="K15:K21">
    <cfRule type="expression" priority="1">
      <formula>"sum(k15:k21)&lt;&gt;1"</formula>
    </cfRule>
    <cfRule type="expression" dxfId="0" priority="2">
      <formula>SUM($K$14:$K$21)&lt;&gt;1</formula>
    </cfRule>
  </conditionalFormatting>
  <dataValidations count="4">
    <dataValidation showDropDown="1" showInputMessage="1" showErrorMessage="1" sqref="K12" xr:uid="{67D43BFE-26FA-42FA-8199-0B1194219C2F}"/>
    <dataValidation type="list" allowBlank="1" showInputMessage="1" showErrorMessage="1" sqref="E12" xr:uid="{D9255B87-E25D-4AF7-8D7C-E449C0DBC562}">
      <formula1>"UTACS,2 FINE,2 COURSE"</formula1>
    </dataValidation>
    <dataValidation type="list" allowBlank="1" showInputMessage="1" showErrorMessage="1" sqref="K22" xr:uid="{474BFA71-3DBB-438C-A832-AF32280493D9}">
      <formula1>IF($K$12="HMA",$K$48:$K$49,$J$48:$J$50)</formula1>
    </dataValidation>
    <dataValidation type="list" allowBlank="1" showInputMessage="1" showErrorMessage="1" sqref="Y3:Y4" xr:uid="{B01702EB-D8F6-4A77-82D1-85B225E94364}">
      <formula1>$B$6:$B$18</formula1>
    </dataValidation>
  </dataValidations>
  <printOptions horizontalCentered="1"/>
  <pageMargins left="0.25" right="0.25" top="0.75" bottom="0.75" header="0.3" footer="0.3"/>
  <pageSetup scale="76" fitToWidth="2" orientation="portrait" r:id="rId1"/>
  <headerFooter>
    <oddHeader>&amp;CMix Design Form&amp;RPage 1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D3EF9-6C13-46B6-B787-5E98B45A18A9}">
  <dimension ref="A1:C14"/>
  <sheetViews>
    <sheetView workbookViewId="0">
      <selection activeCell="D33" sqref="D33"/>
    </sheetView>
  </sheetViews>
  <sheetFormatPr defaultRowHeight="14.4" x14ac:dyDescent="0.3"/>
  <cols>
    <col min="1" max="1" width="8" bestFit="1" customWidth="1"/>
    <col min="2" max="2" width="7" bestFit="1" customWidth="1"/>
    <col min="3" max="3" width="6.6640625" bestFit="1" customWidth="1"/>
  </cols>
  <sheetData>
    <row r="1" spans="1:3" x14ac:dyDescent="0.3">
      <c r="A1" t="s">
        <v>267</v>
      </c>
      <c r="B1" t="s">
        <v>155</v>
      </c>
      <c r="C1" t="s">
        <v>156</v>
      </c>
    </row>
    <row r="2" spans="1:3" x14ac:dyDescent="0.3">
      <c r="A2">
        <v>25</v>
      </c>
      <c r="B2" t="e">
        <f>#REF!</f>
        <v>#REF!</v>
      </c>
      <c r="C2" t="e">
        <f>#REF!</f>
        <v>#REF!</v>
      </c>
    </row>
    <row r="3" spans="1:3" x14ac:dyDescent="0.3">
      <c r="A3">
        <v>19</v>
      </c>
      <c r="B3" t="e">
        <f>#REF!</f>
        <v>#REF!</v>
      </c>
      <c r="C3" t="e">
        <f>#REF!</f>
        <v>#REF!</v>
      </c>
    </row>
    <row r="4" spans="1:3" hidden="1" x14ac:dyDescent="0.3">
      <c r="A4">
        <v>12.5</v>
      </c>
      <c r="B4" t="e">
        <f>#REF!</f>
        <v>#REF!</v>
      </c>
      <c r="C4" t="e">
        <f>#REF!</f>
        <v>#REF!</v>
      </c>
    </row>
    <row r="5" spans="1:3" hidden="1" x14ac:dyDescent="0.3">
      <c r="A5">
        <v>9.5</v>
      </c>
      <c r="B5" t="e">
        <f>#REF!</f>
        <v>#REF!</v>
      </c>
      <c r="C5" t="e">
        <f>#REF!</f>
        <v>#REF!</v>
      </c>
    </row>
    <row r="6" spans="1:3" hidden="1" x14ac:dyDescent="0.3">
      <c r="A6">
        <v>4.75</v>
      </c>
      <c r="B6" t="e">
        <f>#REF!</f>
        <v>#REF!</v>
      </c>
      <c r="C6" t="e">
        <f>#REF!</f>
        <v>#REF!</v>
      </c>
    </row>
    <row r="7" spans="1:3" x14ac:dyDescent="0.3">
      <c r="A7">
        <v>2.36</v>
      </c>
      <c r="B7" t="e">
        <f>#REF!</f>
        <v>#REF!</v>
      </c>
      <c r="C7" t="e">
        <f>#REF!</f>
        <v>#REF!</v>
      </c>
    </row>
    <row r="8" spans="1:3" hidden="1" x14ac:dyDescent="0.3">
      <c r="A8">
        <v>2</v>
      </c>
      <c r="B8" t="e">
        <f>#REF!</f>
        <v>#REF!</v>
      </c>
      <c r="C8" t="e">
        <f>#REF!</f>
        <v>#REF!</v>
      </c>
    </row>
    <row r="9" spans="1:3" hidden="1" x14ac:dyDescent="0.3">
      <c r="A9">
        <v>1.18</v>
      </c>
      <c r="B9" t="e">
        <f>#REF!</f>
        <v>#REF!</v>
      </c>
      <c r="C9" t="e">
        <f>#REF!</f>
        <v>#REF!</v>
      </c>
    </row>
    <row r="10" spans="1:3" hidden="1" x14ac:dyDescent="0.3">
      <c r="A10">
        <v>0.5</v>
      </c>
      <c r="B10" t="e">
        <f>#REF!</f>
        <v>#REF!</v>
      </c>
      <c r="C10" t="e">
        <f>#REF!</f>
        <v>#REF!</v>
      </c>
    </row>
    <row r="11" spans="1:3" hidden="1" x14ac:dyDescent="0.3">
      <c r="A11">
        <v>0.45</v>
      </c>
      <c r="B11" t="e">
        <f>#REF!</f>
        <v>#REF!</v>
      </c>
      <c r="C11" t="e">
        <f>#REF!</f>
        <v>#REF!</v>
      </c>
    </row>
    <row r="12" spans="1:3" hidden="1" x14ac:dyDescent="0.3">
      <c r="A12">
        <v>0.3</v>
      </c>
      <c r="B12" t="e">
        <f>#REF!</f>
        <v>#REF!</v>
      </c>
      <c r="C12" t="e">
        <f>#REF!</f>
        <v>#REF!</v>
      </c>
    </row>
    <row r="13" spans="1:3" hidden="1" x14ac:dyDescent="0.3">
      <c r="A13">
        <v>0.15</v>
      </c>
      <c r="B13" t="e">
        <f>#REF!</f>
        <v>#REF!</v>
      </c>
      <c r="C13" t="e">
        <f>#REF!</f>
        <v>#REF!</v>
      </c>
    </row>
    <row r="14" spans="1:3" x14ac:dyDescent="0.3">
      <c r="A14">
        <v>7.4999999999999997E-2</v>
      </c>
      <c r="B14" t="e">
        <f>#REF!</f>
        <v>#REF!</v>
      </c>
      <c r="C14" t="e">
        <f>#REF!</f>
        <v>#REF!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083C-017F-4444-9FB9-EDAB3C667D07}">
  <dimension ref="A1:AF68"/>
  <sheetViews>
    <sheetView tabSelected="1" workbookViewId="0">
      <selection activeCell="AC49" sqref="AC49"/>
    </sheetView>
  </sheetViews>
  <sheetFormatPr defaultRowHeight="14.4" x14ac:dyDescent="0.3"/>
  <cols>
    <col min="1" max="1" width="17.44140625" customWidth="1"/>
    <col min="2" max="2" width="10.6640625" customWidth="1"/>
    <col min="3" max="3" width="9.109375" style="64"/>
    <col min="4" max="6" width="8.88671875" style="161"/>
    <col min="7" max="7" width="9.109375" style="64"/>
    <col min="8" max="10" width="8.88671875" style="161"/>
    <col min="11" max="11" width="11" style="64" customWidth="1"/>
    <col min="12" max="14" width="11" style="161" customWidth="1"/>
    <col min="15" max="15" width="9.109375" style="64"/>
    <col min="16" max="18" width="8.88671875" style="161"/>
    <col min="19" max="19" width="9.109375" style="64"/>
    <col min="20" max="22" width="8.88671875" style="161"/>
    <col min="23" max="23" width="9.109375" style="64"/>
    <col min="24" max="25" width="8.88671875" style="161"/>
    <col min="26" max="26" width="9.109375" style="64"/>
  </cols>
  <sheetData>
    <row r="1" spans="1:27" ht="16.2" thickBot="1" x14ac:dyDescent="0.35">
      <c r="A1" s="447" t="s">
        <v>121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9"/>
      <c r="Y1" s="449"/>
      <c r="Z1" s="450"/>
    </row>
    <row r="2" spans="1:27" x14ac:dyDescent="0.3">
      <c r="A2" s="451" t="s">
        <v>122</v>
      </c>
      <c r="B2" s="452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1"/>
      <c r="Y2" s="461"/>
      <c r="Z2" s="462"/>
    </row>
    <row r="3" spans="1:27" ht="15" thickBot="1" x14ac:dyDescent="0.35">
      <c r="A3" s="453" t="s">
        <v>123</v>
      </c>
      <c r="B3" s="454"/>
      <c r="C3" s="463" t="str">
        <f>'1 MIX DESIGN FORM'!K24</f>
        <v>50</v>
      </c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3"/>
      <c r="P3" s="463"/>
      <c r="Q3" s="463"/>
      <c r="R3" s="463"/>
      <c r="S3" s="463"/>
      <c r="T3" s="463"/>
      <c r="U3" s="463"/>
      <c r="V3" s="463"/>
      <c r="W3" s="463"/>
      <c r="X3" s="464"/>
      <c r="Y3" s="464"/>
      <c r="Z3" s="465"/>
    </row>
    <row r="4" spans="1:27" x14ac:dyDescent="0.3">
      <c r="A4" s="459" t="s">
        <v>124</v>
      </c>
      <c r="B4" s="430"/>
      <c r="C4" s="430" t="s">
        <v>145</v>
      </c>
      <c r="D4" s="430"/>
      <c r="E4" s="430"/>
      <c r="F4" s="430"/>
      <c r="G4" s="430"/>
      <c r="H4" s="430"/>
      <c r="I4" s="430"/>
      <c r="J4" s="430"/>
      <c r="K4" s="430"/>
      <c r="L4" s="182"/>
      <c r="M4" s="182"/>
      <c r="N4" s="182"/>
      <c r="O4" s="430" t="s">
        <v>146</v>
      </c>
      <c r="P4" s="430"/>
      <c r="Q4" s="430"/>
      <c r="R4" s="430"/>
      <c r="S4" s="430"/>
      <c r="T4" s="430"/>
      <c r="U4" s="430"/>
      <c r="V4" s="430"/>
      <c r="W4" s="430"/>
      <c r="X4" s="431"/>
      <c r="Y4" s="431"/>
      <c r="Z4" s="432"/>
    </row>
    <row r="5" spans="1:27" x14ac:dyDescent="0.3">
      <c r="A5" s="438" t="s">
        <v>125</v>
      </c>
      <c r="B5" s="439"/>
      <c r="C5" s="433"/>
      <c r="D5" s="433"/>
      <c r="E5" s="433"/>
      <c r="F5" s="433"/>
      <c r="G5" s="433"/>
      <c r="H5" s="433"/>
      <c r="I5" s="433"/>
      <c r="J5" s="433"/>
      <c r="K5" s="433"/>
      <c r="L5" s="164"/>
      <c r="M5" s="164"/>
      <c r="N5" s="164"/>
      <c r="O5" s="433"/>
      <c r="P5" s="433"/>
      <c r="Q5" s="433"/>
      <c r="R5" s="433"/>
      <c r="S5" s="433"/>
      <c r="T5" s="433"/>
      <c r="U5" s="433"/>
      <c r="V5" s="433"/>
      <c r="W5" s="433"/>
      <c r="X5" s="434"/>
      <c r="Y5" s="434"/>
      <c r="Z5" s="435"/>
    </row>
    <row r="6" spans="1:27" ht="15" thickBot="1" x14ac:dyDescent="0.35">
      <c r="A6" s="457" t="s">
        <v>126</v>
      </c>
      <c r="B6" s="458"/>
      <c r="C6" s="360"/>
      <c r="D6" s="360"/>
      <c r="E6" s="360"/>
      <c r="F6" s="360"/>
      <c r="G6" s="360"/>
      <c r="H6" s="360"/>
      <c r="I6" s="360"/>
      <c r="J6" s="360"/>
      <c r="K6" s="360"/>
      <c r="L6" s="159"/>
      <c r="M6" s="159"/>
      <c r="N6" s="159"/>
      <c r="O6" s="360"/>
      <c r="P6" s="360"/>
      <c r="Q6" s="360"/>
      <c r="R6" s="360"/>
      <c r="S6" s="360"/>
      <c r="T6" s="360"/>
      <c r="U6" s="360"/>
      <c r="V6" s="360"/>
      <c r="W6" s="360"/>
      <c r="X6" s="436"/>
      <c r="Y6" s="436"/>
      <c r="Z6" s="437"/>
    </row>
    <row r="7" spans="1:27" x14ac:dyDescent="0.3">
      <c r="A7" s="455" t="s">
        <v>127</v>
      </c>
      <c r="B7" s="456"/>
      <c r="C7" s="171" t="s">
        <v>357</v>
      </c>
      <c r="D7" s="171" t="s">
        <v>355</v>
      </c>
      <c r="E7" s="171" t="s">
        <v>356</v>
      </c>
      <c r="F7" s="171" t="s">
        <v>369</v>
      </c>
      <c r="G7" s="171" t="s">
        <v>357</v>
      </c>
      <c r="H7" s="171" t="s">
        <v>358</v>
      </c>
      <c r="I7" s="171" t="s">
        <v>359</v>
      </c>
      <c r="J7" s="171" t="s">
        <v>370</v>
      </c>
      <c r="K7" s="171" t="s">
        <v>360</v>
      </c>
      <c r="L7" s="171" t="s">
        <v>361</v>
      </c>
      <c r="M7" s="171" t="s">
        <v>362</v>
      </c>
      <c r="N7" s="171" t="s">
        <v>371</v>
      </c>
      <c r="O7" s="171" t="s">
        <v>363</v>
      </c>
      <c r="P7" s="171" t="s">
        <v>364</v>
      </c>
      <c r="Q7" s="171" t="s">
        <v>365</v>
      </c>
      <c r="R7" s="171" t="s">
        <v>372</v>
      </c>
      <c r="S7" s="171" t="s">
        <v>366</v>
      </c>
      <c r="T7" s="171" t="s">
        <v>367</v>
      </c>
      <c r="U7" s="171" t="s">
        <v>368</v>
      </c>
      <c r="V7" s="171" t="s">
        <v>373</v>
      </c>
      <c r="W7" s="171" t="s">
        <v>374</v>
      </c>
      <c r="X7" s="171" t="s">
        <v>375</v>
      </c>
      <c r="Y7" s="171" t="s">
        <v>376</v>
      </c>
      <c r="Z7" s="171" t="s">
        <v>377</v>
      </c>
    </row>
    <row r="8" spans="1:27" x14ac:dyDescent="0.3">
      <c r="A8" s="438" t="s">
        <v>128</v>
      </c>
      <c r="B8" s="439"/>
      <c r="C8" s="471">
        <v>3.5000000000000003E-2</v>
      </c>
      <c r="D8" s="472"/>
      <c r="E8" s="472"/>
      <c r="F8" s="473"/>
      <c r="G8" s="471">
        <v>0.04</v>
      </c>
      <c r="H8" s="472"/>
      <c r="I8" s="473"/>
      <c r="J8" s="190"/>
      <c r="K8" s="471">
        <v>4.4999999999999998E-2</v>
      </c>
      <c r="L8" s="472"/>
      <c r="M8" s="473"/>
      <c r="N8" s="190"/>
      <c r="O8" s="471">
        <v>0.05</v>
      </c>
      <c r="P8" s="472"/>
      <c r="Q8" s="473"/>
      <c r="R8" s="190"/>
      <c r="S8" s="471">
        <v>5.5E-2</v>
      </c>
      <c r="T8" s="472"/>
      <c r="U8" s="473"/>
      <c r="V8" s="190"/>
      <c r="W8" s="471">
        <v>0.06</v>
      </c>
      <c r="X8" s="472"/>
      <c r="Y8" s="473"/>
      <c r="Z8" s="190"/>
      <c r="AA8">
        <f>0.75*3.5</f>
        <v>2.625</v>
      </c>
    </row>
    <row r="9" spans="1:27" ht="15" thickBot="1" x14ac:dyDescent="0.35">
      <c r="A9" s="457" t="s">
        <v>129</v>
      </c>
      <c r="B9" s="458"/>
      <c r="C9" s="474">
        <f>MROUND(C8/(100-C8)*100,0.001)</f>
        <v>3.5000000000000003E-2</v>
      </c>
      <c r="D9" s="475"/>
      <c r="E9" s="475"/>
      <c r="F9" s="476"/>
      <c r="G9" s="474">
        <f>MROUND(G8/(100-G8)*100,0.001)</f>
        <v>0.04</v>
      </c>
      <c r="H9" s="475"/>
      <c r="I9" s="476"/>
      <c r="J9" s="191"/>
      <c r="K9" s="474">
        <f>MROUND(K8/(100-K8)*100,0.001)</f>
        <v>4.4999999999999998E-2</v>
      </c>
      <c r="L9" s="475"/>
      <c r="M9" s="476"/>
      <c r="N9" s="191"/>
      <c r="O9" s="474">
        <f>MROUND(O8/(100-O8)*100,0.001)</f>
        <v>0.05</v>
      </c>
      <c r="P9" s="475"/>
      <c r="Q9" s="476"/>
      <c r="R9" s="191"/>
      <c r="S9" s="474">
        <f>MROUND(S8/(100-S8)*100,0.001)</f>
        <v>5.5E-2</v>
      </c>
      <c r="T9" s="475"/>
      <c r="U9" s="476"/>
      <c r="V9" s="191"/>
      <c r="W9" s="474">
        <f>MROUND(W8/(100-W8)*100,0.001)</f>
        <v>0.06</v>
      </c>
      <c r="X9" s="475"/>
      <c r="Y9" s="476"/>
      <c r="Z9" s="191"/>
    </row>
    <row r="10" spans="1:27" x14ac:dyDescent="0.3">
      <c r="A10" s="455" t="s">
        <v>130</v>
      </c>
      <c r="B10" s="456"/>
      <c r="C10" s="182">
        <f>C8</f>
        <v>3.5000000000000003E-2</v>
      </c>
      <c r="D10" s="182"/>
      <c r="E10" s="182"/>
      <c r="F10" s="194">
        <f>IFERROR(AVERAGE(C10:E10),"")</f>
        <v>3.5000000000000003E-2</v>
      </c>
      <c r="G10" s="182">
        <f t="shared" ref="G10:S10" si="0">G8</f>
        <v>0.04</v>
      </c>
      <c r="H10" s="182"/>
      <c r="I10" s="182"/>
      <c r="J10" s="194">
        <f>IFERROR(AVERAGE(G10:I10),"")</f>
        <v>0.04</v>
      </c>
      <c r="K10" s="182">
        <f t="shared" si="0"/>
        <v>4.4999999999999998E-2</v>
      </c>
      <c r="L10" s="182"/>
      <c r="M10" s="182"/>
      <c r="N10" s="194">
        <f>IFERROR(AVERAGE(K10:M10),"")</f>
        <v>4.4999999999999998E-2</v>
      </c>
      <c r="O10" s="182">
        <f t="shared" si="0"/>
        <v>0.05</v>
      </c>
      <c r="P10" s="182"/>
      <c r="Q10" s="182"/>
      <c r="R10" s="194">
        <f>IFERROR(AVERAGE(O10:Q10),"")</f>
        <v>0.05</v>
      </c>
      <c r="S10" s="182">
        <f t="shared" si="0"/>
        <v>5.5E-2</v>
      </c>
      <c r="T10" s="182"/>
      <c r="U10" s="182"/>
      <c r="V10" s="194">
        <f>IFERROR(AVERAGE(S10:U10),"")</f>
        <v>5.5E-2</v>
      </c>
      <c r="W10" s="182">
        <f t="shared" ref="W10" si="1">W8</f>
        <v>0.06</v>
      </c>
      <c r="X10" s="182"/>
      <c r="Y10" s="182"/>
      <c r="Z10" s="194">
        <f>IFERROR(AVERAGE(W10:Y10),"")</f>
        <v>0.06</v>
      </c>
    </row>
    <row r="11" spans="1:27" x14ac:dyDescent="0.3">
      <c r="A11" s="438" t="s">
        <v>131</v>
      </c>
      <c r="B11" s="439"/>
      <c r="C11" s="84"/>
      <c r="D11" s="84"/>
      <c r="E11" s="84"/>
      <c r="F11" s="130" t="str">
        <f t="shared" ref="F11:F24" si="2">IFERROR(AVERAGE(C11:E11),"")</f>
        <v/>
      </c>
      <c r="G11" s="84"/>
      <c r="H11" s="84"/>
      <c r="I11" s="84"/>
      <c r="J11" s="130" t="str">
        <f t="shared" ref="J11:J24" si="3">IFERROR(AVERAGE(G11:I11),"")</f>
        <v/>
      </c>
      <c r="K11" s="84"/>
      <c r="L11" s="84"/>
      <c r="M11" s="84"/>
      <c r="N11" s="130" t="str">
        <f t="shared" ref="N11:N24" si="4">IFERROR(AVERAGE(K11:M11),"")</f>
        <v/>
      </c>
      <c r="O11" s="84"/>
      <c r="P11" s="84"/>
      <c r="Q11" s="84"/>
      <c r="R11" s="130" t="str">
        <f t="shared" ref="R11:R24" si="5">IFERROR(AVERAGE(O11:Q11),"")</f>
        <v/>
      </c>
      <c r="S11" s="84"/>
      <c r="T11" s="84"/>
      <c r="U11" s="84"/>
      <c r="V11" s="130" t="str">
        <f t="shared" ref="V11:V24" si="6">IFERROR(AVERAGE(S11:U11),"")</f>
        <v/>
      </c>
      <c r="W11" s="84"/>
      <c r="X11" s="84"/>
      <c r="Y11" s="84"/>
      <c r="Z11" s="130" t="str">
        <f t="shared" ref="Z11:Z24" si="7">IFERROR(AVERAGE(W11:Y11),"")</f>
        <v/>
      </c>
    </row>
    <row r="12" spans="1:27" x14ac:dyDescent="0.3">
      <c r="A12" s="438" t="s">
        <v>327</v>
      </c>
      <c r="B12" s="439"/>
      <c r="C12" s="84">
        <v>2.774</v>
      </c>
      <c r="D12" s="84"/>
      <c r="E12" s="84"/>
      <c r="F12" s="130">
        <f t="shared" si="2"/>
        <v>2.774</v>
      </c>
      <c r="G12" s="84">
        <v>2.774</v>
      </c>
      <c r="H12" s="84"/>
      <c r="I12" s="84"/>
      <c r="J12" s="130">
        <f t="shared" si="3"/>
        <v>2.774</v>
      </c>
      <c r="K12" s="84">
        <v>2.774</v>
      </c>
      <c r="L12" s="84"/>
      <c r="M12" s="84"/>
      <c r="N12" s="130">
        <f t="shared" si="4"/>
        <v>2.774</v>
      </c>
      <c r="O12" s="84">
        <v>2.774</v>
      </c>
      <c r="P12" s="84"/>
      <c r="Q12" s="84"/>
      <c r="R12" s="130">
        <f t="shared" si="5"/>
        <v>2.774</v>
      </c>
      <c r="S12" s="84">
        <v>2.774</v>
      </c>
      <c r="T12" s="84"/>
      <c r="U12" s="84"/>
      <c r="V12" s="130">
        <f t="shared" si="6"/>
        <v>2.774</v>
      </c>
      <c r="W12" s="84">
        <v>2.774</v>
      </c>
      <c r="X12" s="84"/>
      <c r="Y12" s="84"/>
      <c r="Z12" s="130">
        <f t="shared" si="7"/>
        <v>2.774</v>
      </c>
    </row>
    <row r="13" spans="1:27" x14ac:dyDescent="0.3">
      <c r="A13" s="438" t="s">
        <v>132</v>
      </c>
      <c r="B13" s="439"/>
      <c r="C13" s="84">
        <v>6.9</v>
      </c>
      <c r="D13" s="84"/>
      <c r="E13" s="84"/>
      <c r="F13" s="130">
        <f t="shared" si="2"/>
        <v>6.9</v>
      </c>
      <c r="G13" s="84">
        <v>5.2</v>
      </c>
      <c r="H13" s="84"/>
      <c r="I13" s="84"/>
      <c r="J13" s="130">
        <f t="shared" si="3"/>
        <v>5.2</v>
      </c>
      <c r="K13" s="84">
        <v>3.3</v>
      </c>
      <c r="L13" s="84"/>
      <c r="M13" s="84"/>
      <c r="N13" s="130">
        <f t="shared" si="4"/>
        <v>3.3</v>
      </c>
      <c r="O13" s="84">
        <v>1.9</v>
      </c>
      <c r="P13" s="84"/>
      <c r="Q13" s="84"/>
      <c r="R13" s="130">
        <f t="shared" si="5"/>
        <v>1.9</v>
      </c>
      <c r="S13" s="84">
        <v>1.2</v>
      </c>
      <c r="T13" s="84"/>
      <c r="U13" s="84"/>
      <c r="V13" s="130">
        <f t="shared" si="6"/>
        <v>1.2</v>
      </c>
      <c r="W13" s="84">
        <v>1.2</v>
      </c>
      <c r="X13" s="84"/>
      <c r="Y13" s="84"/>
      <c r="Z13" s="130">
        <f t="shared" si="7"/>
        <v>1.2</v>
      </c>
    </row>
    <row r="14" spans="1:27" x14ac:dyDescent="0.3">
      <c r="A14" s="438" t="s">
        <v>133</v>
      </c>
      <c r="B14" s="439"/>
      <c r="C14" s="84">
        <v>2.4390000000000001</v>
      </c>
      <c r="D14" s="84"/>
      <c r="E14" s="84"/>
      <c r="F14" s="130">
        <f t="shared" si="2"/>
        <v>2.4390000000000001</v>
      </c>
      <c r="G14" s="84">
        <v>2.4649999999999999</v>
      </c>
      <c r="H14" s="84"/>
      <c r="I14" s="84"/>
      <c r="J14" s="130">
        <f t="shared" si="3"/>
        <v>2.4649999999999999</v>
      </c>
      <c r="K14" s="84">
        <v>2.4940000000000002</v>
      </c>
      <c r="L14" s="84"/>
      <c r="M14" s="84"/>
      <c r="N14" s="130">
        <f t="shared" si="4"/>
        <v>2.4940000000000002</v>
      </c>
      <c r="O14" s="84">
        <v>2.5099999999999998</v>
      </c>
      <c r="P14" s="84"/>
      <c r="Q14" s="84"/>
      <c r="R14" s="130">
        <f t="shared" si="5"/>
        <v>2.5099999999999998</v>
      </c>
      <c r="S14" s="84">
        <v>2.508</v>
      </c>
      <c r="T14" s="84"/>
      <c r="U14" s="84"/>
      <c r="V14" s="130">
        <f t="shared" si="6"/>
        <v>2.508</v>
      </c>
      <c r="W14" s="84">
        <v>2.508</v>
      </c>
      <c r="X14" s="84"/>
      <c r="Y14" s="84"/>
      <c r="Z14" s="130">
        <f t="shared" si="7"/>
        <v>2.508</v>
      </c>
    </row>
    <row r="15" spans="1:27" x14ac:dyDescent="0.3">
      <c r="A15" s="469" t="s">
        <v>328</v>
      </c>
      <c r="B15" s="470"/>
      <c r="C15" s="183">
        <f>C14*62.4</f>
        <v>152.1936</v>
      </c>
      <c r="D15" s="183"/>
      <c r="E15" s="183"/>
      <c r="F15" s="130">
        <f t="shared" si="2"/>
        <v>152.1936</v>
      </c>
      <c r="G15" s="183">
        <f t="shared" ref="G15:S15" si="8">G14*62.4</f>
        <v>153.81599999999997</v>
      </c>
      <c r="H15" s="183"/>
      <c r="I15" s="183"/>
      <c r="J15" s="130">
        <f t="shared" si="3"/>
        <v>153.81599999999997</v>
      </c>
      <c r="K15" s="183">
        <f t="shared" si="8"/>
        <v>155.62560000000002</v>
      </c>
      <c r="L15" s="183"/>
      <c r="M15" s="183"/>
      <c r="N15" s="130">
        <f t="shared" si="4"/>
        <v>155.62560000000002</v>
      </c>
      <c r="O15" s="183">
        <f t="shared" si="8"/>
        <v>156.624</v>
      </c>
      <c r="P15" s="183"/>
      <c r="Q15" s="183"/>
      <c r="R15" s="130">
        <f t="shared" si="5"/>
        <v>156.624</v>
      </c>
      <c r="S15" s="183">
        <f t="shared" si="8"/>
        <v>156.4992</v>
      </c>
      <c r="T15" s="189"/>
      <c r="U15" s="189"/>
      <c r="V15" s="130">
        <f t="shared" si="6"/>
        <v>156.4992</v>
      </c>
      <c r="W15" s="183">
        <f t="shared" ref="W15" si="9">W14*62.4</f>
        <v>156.4992</v>
      </c>
      <c r="X15" s="189"/>
      <c r="Y15" s="189"/>
      <c r="Z15" s="130">
        <f t="shared" si="7"/>
        <v>156.4992</v>
      </c>
    </row>
    <row r="16" spans="1:27" x14ac:dyDescent="0.3">
      <c r="A16" s="438" t="s">
        <v>134</v>
      </c>
      <c r="B16" s="439"/>
      <c r="C16" s="84">
        <v>163.1</v>
      </c>
      <c r="D16" s="84"/>
      <c r="E16" s="84"/>
      <c r="F16" s="130">
        <f t="shared" si="2"/>
        <v>163.1</v>
      </c>
      <c r="G16" s="84">
        <v>161.80000000000001</v>
      </c>
      <c r="H16" s="84"/>
      <c r="I16" s="84"/>
      <c r="J16" s="130">
        <f t="shared" si="3"/>
        <v>161.80000000000001</v>
      </c>
      <c r="K16" s="84">
        <v>160.5</v>
      </c>
      <c r="L16" s="84"/>
      <c r="M16" s="84"/>
      <c r="N16" s="130">
        <f t="shared" si="4"/>
        <v>160.5</v>
      </c>
      <c r="O16" s="84">
        <v>159.30000000000001</v>
      </c>
      <c r="P16" s="84"/>
      <c r="Q16" s="84"/>
      <c r="R16" s="130">
        <f t="shared" si="5"/>
        <v>159.30000000000001</v>
      </c>
      <c r="S16" s="84">
        <v>158</v>
      </c>
      <c r="T16" s="181"/>
      <c r="U16" s="181"/>
      <c r="V16" s="130">
        <f t="shared" si="6"/>
        <v>158</v>
      </c>
      <c r="W16" s="84">
        <v>158</v>
      </c>
      <c r="X16" s="181"/>
      <c r="Y16" s="181"/>
      <c r="Z16" s="130">
        <f t="shared" si="7"/>
        <v>158</v>
      </c>
    </row>
    <row r="17" spans="1:32" x14ac:dyDescent="0.3">
      <c r="A17" s="438" t="s">
        <v>135</v>
      </c>
      <c r="B17" s="439"/>
      <c r="C17" s="84">
        <v>3988</v>
      </c>
      <c r="D17" s="84"/>
      <c r="E17" s="84"/>
      <c r="F17" s="130">
        <f t="shared" si="2"/>
        <v>3988</v>
      </c>
      <c r="G17" s="84">
        <v>3842</v>
      </c>
      <c r="H17" s="84"/>
      <c r="I17" s="84"/>
      <c r="J17" s="130">
        <f t="shared" si="3"/>
        <v>3842</v>
      </c>
      <c r="K17" s="84">
        <v>3657</v>
      </c>
      <c r="L17" s="84"/>
      <c r="M17" s="84"/>
      <c r="N17" s="130">
        <f t="shared" si="4"/>
        <v>3657</v>
      </c>
      <c r="O17" s="84">
        <v>3513</v>
      </c>
      <c r="P17" s="184"/>
      <c r="Q17" s="184"/>
      <c r="R17" s="130">
        <f t="shared" si="5"/>
        <v>3513</v>
      </c>
      <c r="S17" s="184">
        <v>3377</v>
      </c>
      <c r="T17" s="184"/>
      <c r="U17" s="184"/>
      <c r="V17" s="130">
        <f t="shared" si="6"/>
        <v>3377</v>
      </c>
      <c r="W17" s="184">
        <v>3377</v>
      </c>
      <c r="X17" s="184"/>
      <c r="Y17" s="184"/>
      <c r="Z17" s="130">
        <f t="shared" si="7"/>
        <v>3377</v>
      </c>
    </row>
    <row r="18" spans="1:32" x14ac:dyDescent="0.3">
      <c r="A18" s="438" t="s">
        <v>136</v>
      </c>
      <c r="B18" s="439"/>
      <c r="C18" s="84">
        <v>14.4</v>
      </c>
      <c r="D18" s="84"/>
      <c r="E18" s="84"/>
      <c r="F18" s="130">
        <f t="shared" si="2"/>
        <v>14.4</v>
      </c>
      <c r="G18" s="84">
        <v>15.1</v>
      </c>
      <c r="H18" s="84"/>
      <c r="I18" s="84"/>
      <c r="J18" s="130">
        <f t="shared" si="3"/>
        <v>15.1</v>
      </c>
      <c r="K18" s="84">
        <v>16.3</v>
      </c>
      <c r="L18" s="84"/>
      <c r="M18" s="84"/>
      <c r="N18" s="130">
        <f t="shared" si="4"/>
        <v>16.3</v>
      </c>
      <c r="O18" s="84">
        <v>16.899999999999999</v>
      </c>
      <c r="P18" s="184"/>
      <c r="Q18" s="184"/>
      <c r="R18" s="130">
        <f t="shared" si="5"/>
        <v>16.899999999999999</v>
      </c>
      <c r="S18" s="184">
        <v>17.399999999999999</v>
      </c>
      <c r="T18" s="184"/>
      <c r="U18" s="184"/>
      <c r="V18" s="130">
        <f t="shared" si="6"/>
        <v>17.399999999999999</v>
      </c>
      <c r="W18" s="184">
        <v>17.399999999999999</v>
      </c>
      <c r="X18" s="184"/>
      <c r="Y18" s="184"/>
      <c r="Z18" s="130">
        <f t="shared" si="7"/>
        <v>17.399999999999999</v>
      </c>
    </row>
    <row r="19" spans="1:32" x14ac:dyDescent="0.3">
      <c r="A19" s="438" t="s">
        <v>137</v>
      </c>
      <c r="B19" s="439"/>
      <c r="C19" s="84">
        <v>15.2</v>
      </c>
      <c r="D19" s="84"/>
      <c r="E19" s="84"/>
      <c r="F19" s="130">
        <f t="shared" si="2"/>
        <v>15.2</v>
      </c>
      <c r="G19" s="84">
        <v>14.8</v>
      </c>
      <c r="H19" s="84"/>
      <c r="I19" s="84"/>
      <c r="J19" s="130">
        <f t="shared" si="3"/>
        <v>14.8</v>
      </c>
      <c r="K19" s="84">
        <v>14.2</v>
      </c>
      <c r="L19" s="84"/>
      <c r="M19" s="84"/>
      <c r="N19" s="130">
        <f t="shared" si="4"/>
        <v>14.2</v>
      </c>
      <c r="O19" s="84">
        <v>14.1</v>
      </c>
      <c r="P19" s="84"/>
      <c r="Q19" s="84"/>
      <c r="R19" s="130">
        <f t="shared" si="5"/>
        <v>14.1</v>
      </c>
      <c r="S19" s="84">
        <v>14.6</v>
      </c>
      <c r="T19" s="185"/>
      <c r="U19" s="185"/>
      <c r="V19" s="130">
        <f t="shared" si="6"/>
        <v>14.6</v>
      </c>
      <c r="W19" s="84">
        <v>14.6</v>
      </c>
      <c r="X19" s="185"/>
      <c r="Y19" s="185"/>
      <c r="Z19" s="130">
        <f t="shared" si="7"/>
        <v>14.6</v>
      </c>
    </row>
    <row r="20" spans="1:32" x14ac:dyDescent="0.3">
      <c r="A20" s="438" t="s">
        <v>138</v>
      </c>
      <c r="B20" s="439"/>
      <c r="C20" s="84">
        <v>54.7</v>
      </c>
      <c r="D20" s="84"/>
      <c r="E20" s="84"/>
      <c r="F20" s="130">
        <f t="shared" si="2"/>
        <v>54.7</v>
      </c>
      <c r="G20" s="84">
        <v>65</v>
      </c>
      <c r="H20" s="84"/>
      <c r="I20" s="84"/>
      <c r="J20" s="130">
        <f t="shared" si="3"/>
        <v>65</v>
      </c>
      <c r="K20" s="84">
        <v>76.8</v>
      </c>
      <c r="L20" s="84"/>
      <c r="M20" s="84"/>
      <c r="N20" s="130">
        <f t="shared" si="4"/>
        <v>76.8</v>
      </c>
      <c r="O20" s="84">
        <v>86.4</v>
      </c>
      <c r="P20" s="84"/>
      <c r="Q20" s="84"/>
      <c r="R20" s="130">
        <f t="shared" si="5"/>
        <v>86.4</v>
      </c>
      <c r="S20" s="84">
        <v>91.6</v>
      </c>
      <c r="T20" s="84"/>
      <c r="U20" s="84"/>
      <c r="V20" s="130">
        <f t="shared" si="6"/>
        <v>91.6</v>
      </c>
      <c r="W20" s="84">
        <v>91.6</v>
      </c>
      <c r="X20" s="84"/>
      <c r="Y20" s="84"/>
      <c r="Z20" s="130">
        <f t="shared" si="7"/>
        <v>91.6</v>
      </c>
    </row>
    <row r="21" spans="1:32" x14ac:dyDescent="0.3">
      <c r="A21" s="438" t="s">
        <v>139</v>
      </c>
      <c r="B21" s="439"/>
      <c r="C21" s="84">
        <v>54.7</v>
      </c>
      <c r="D21" s="84"/>
      <c r="E21" s="84"/>
      <c r="F21" s="130">
        <f t="shared" si="2"/>
        <v>54.7</v>
      </c>
      <c r="G21" s="84">
        <v>65</v>
      </c>
      <c r="H21" s="84"/>
      <c r="I21" s="84"/>
      <c r="J21" s="130">
        <f t="shared" si="3"/>
        <v>65</v>
      </c>
      <c r="K21" s="84">
        <v>76.8</v>
      </c>
      <c r="L21" s="84"/>
      <c r="M21" s="84"/>
      <c r="N21" s="130">
        <f t="shared" si="4"/>
        <v>76.8</v>
      </c>
      <c r="O21" s="84">
        <v>86.4</v>
      </c>
      <c r="P21" s="84"/>
      <c r="Q21" s="84"/>
      <c r="R21" s="130">
        <f t="shared" si="5"/>
        <v>86.4</v>
      </c>
      <c r="S21" s="84">
        <v>91.6</v>
      </c>
      <c r="T21" s="84"/>
      <c r="U21" s="84"/>
      <c r="V21" s="130">
        <f t="shared" si="6"/>
        <v>91.6</v>
      </c>
      <c r="W21" s="84">
        <v>91.6</v>
      </c>
      <c r="X21" s="84"/>
      <c r="Y21" s="84"/>
      <c r="Z21" s="130">
        <f t="shared" si="7"/>
        <v>91.6</v>
      </c>
    </row>
    <row r="22" spans="1:32" x14ac:dyDescent="0.3">
      <c r="A22" s="438" t="s">
        <v>325</v>
      </c>
      <c r="B22" s="439"/>
      <c r="C22" s="84">
        <v>6.8</v>
      </c>
      <c r="D22" s="84"/>
      <c r="E22" s="84"/>
      <c r="F22" s="130">
        <f t="shared" si="2"/>
        <v>6.8</v>
      </c>
      <c r="G22" s="84">
        <v>7.8</v>
      </c>
      <c r="H22" s="84"/>
      <c r="I22" s="84"/>
      <c r="J22" s="130">
        <f t="shared" si="3"/>
        <v>7.8</v>
      </c>
      <c r="K22" s="84">
        <v>8.8000000000000007</v>
      </c>
      <c r="L22" s="84"/>
      <c r="M22" s="84"/>
      <c r="N22" s="130">
        <f t="shared" si="4"/>
        <v>8.8000000000000007</v>
      </c>
      <c r="O22" s="84">
        <v>9.8000000000000007</v>
      </c>
      <c r="P22" s="84"/>
      <c r="Q22" s="84"/>
      <c r="R22" s="130">
        <f t="shared" si="5"/>
        <v>9.8000000000000007</v>
      </c>
      <c r="S22" s="84">
        <v>10.9</v>
      </c>
      <c r="T22" s="84"/>
      <c r="U22" s="84"/>
      <c r="V22" s="130">
        <f t="shared" si="6"/>
        <v>10.9</v>
      </c>
      <c r="W22" s="84">
        <v>10.9</v>
      </c>
      <c r="X22" s="84"/>
      <c r="Y22" s="84"/>
      <c r="Z22" s="130">
        <f t="shared" si="7"/>
        <v>10.9</v>
      </c>
    </row>
    <row r="23" spans="1:32" x14ac:dyDescent="0.3">
      <c r="A23" s="469" t="s">
        <v>326</v>
      </c>
      <c r="B23" s="470"/>
      <c r="C23" s="181">
        <v>7</v>
      </c>
      <c r="D23" s="181"/>
      <c r="E23" s="181"/>
      <c r="F23" s="130">
        <f t="shared" si="2"/>
        <v>7</v>
      </c>
      <c r="G23" s="181">
        <v>7</v>
      </c>
      <c r="H23" s="181"/>
      <c r="I23" s="181"/>
      <c r="J23" s="130">
        <f t="shared" si="3"/>
        <v>7</v>
      </c>
      <c r="K23" s="181">
        <v>7</v>
      </c>
      <c r="L23" s="181"/>
      <c r="M23" s="181"/>
      <c r="N23" s="130">
        <f t="shared" si="4"/>
        <v>7</v>
      </c>
      <c r="O23" s="181">
        <v>7</v>
      </c>
      <c r="P23" s="181"/>
      <c r="Q23" s="181"/>
      <c r="R23" s="130">
        <f t="shared" si="5"/>
        <v>7</v>
      </c>
      <c r="S23" s="181">
        <v>7</v>
      </c>
      <c r="T23" s="181"/>
      <c r="U23" s="181"/>
      <c r="V23" s="130">
        <f t="shared" si="6"/>
        <v>7</v>
      </c>
      <c r="W23" s="181">
        <v>7</v>
      </c>
      <c r="X23" s="181"/>
      <c r="Y23" s="181"/>
      <c r="Z23" s="130">
        <f t="shared" si="7"/>
        <v>7</v>
      </c>
    </row>
    <row r="24" spans="1:32" ht="15" thickBot="1" x14ac:dyDescent="0.35">
      <c r="A24" s="428" t="s">
        <v>140</v>
      </c>
      <c r="B24" s="429"/>
      <c r="C24" s="186">
        <v>1.8</v>
      </c>
      <c r="D24" s="186"/>
      <c r="E24" s="186"/>
      <c r="F24" s="195">
        <f t="shared" si="2"/>
        <v>1.8</v>
      </c>
      <c r="G24" s="186">
        <v>1.6</v>
      </c>
      <c r="H24" s="186"/>
      <c r="I24" s="186"/>
      <c r="J24" s="195">
        <f t="shared" si="3"/>
        <v>1.6</v>
      </c>
      <c r="K24" s="186">
        <v>1.4</v>
      </c>
      <c r="L24" s="186"/>
      <c r="M24" s="186"/>
      <c r="N24" s="195">
        <f t="shared" si="4"/>
        <v>1.4</v>
      </c>
      <c r="O24" s="186">
        <v>1.3</v>
      </c>
      <c r="P24" s="186"/>
      <c r="Q24" s="186"/>
      <c r="R24" s="195">
        <f t="shared" si="5"/>
        <v>1.3</v>
      </c>
      <c r="S24" s="186">
        <v>1.1000000000000001</v>
      </c>
      <c r="T24" s="186"/>
      <c r="U24" s="186"/>
      <c r="V24" s="195">
        <f t="shared" si="6"/>
        <v>1.1000000000000001</v>
      </c>
      <c r="W24" s="186">
        <v>1.1000000000000001</v>
      </c>
      <c r="X24" s="186"/>
      <c r="Y24" s="186"/>
      <c r="Z24" s="195">
        <f t="shared" si="7"/>
        <v>1.1000000000000001</v>
      </c>
    </row>
    <row r="25" spans="1:32" ht="35.25" customHeight="1" x14ac:dyDescent="0.3">
      <c r="A25" s="440" t="s">
        <v>141</v>
      </c>
      <c r="B25" s="441"/>
      <c r="C25" s="466" t="s">
        <v>179</v>
      </c>
      <c r="D25" s="467"/>
      <c r="E25" s="467"/>
      <c r="F25" s="467"/>
      <c r="G25" s="467"/>
      <c r="H25" s="467"/>
      <c r="I25" s="467"/>
      <c r="J25" s="467"/>
      <c r="K25" s="468"/>
      <c r="L25" s="163"/>
      <c r="M25" s="163"/>
      <c r="N25" s="163"/>
      <c r="O25" s="466" t="s">
        <v>180</v>
      </c>
      <c r="P25" s="467"/>
      <c r="Q25" s="467"/>
      <c r="R25" s="467"/>
      <c r="S25" s="467"/>
      <c r="T25" s="467"/>
      <c r="U25" s="467"/>
      <c r="V25" s="467"/>
      <c r="W25" s="468"/>
      <c r="X25" s="163"/>
      <c r="Y25" s="163"/>
      <c r="Z25" s="72" t="s">
        <v>7</v>
      </c>
    </row>
    <row r="26" spans="1:32" x14ac:dyDescent="0.3">
      <c r="A26" s="438" t="s">
        <v>142</v>
      </c>
      <c r="B26" s="439"/>
      <c r="C26" s="433"/>
      <c r="D26" s="433"/>
      <c r="E26" s="433"/>
      <c r="F26" s="433"/>
      <c r="G26" s="433"/>
      <c r="H26" s="433"/>
      <c r="I26" s="433"/>
      <c r="J26" s="433"/>
      <c r="K26" s="433"/>
      <c r="L26" s="166"/>
      <c r="M26" s="166"/>
      <c r="N26" s="166"/>
      <c r="O26" s="434"/>
      <c r="P26" s="298"/>
      <c r="Q26" s="298"/>
      <c r="R26" s="298"/>
      <c r="S26" s="298"/>
      <c r="T26" s="298"/>
      <c r="U26" s="298"/>
      <c r="V26" s="298"/>
      <c r="W26" s="443"/>
      <c r="X26" s="162"/>
      <c r="Y26" s="162"/>
      <c r="Z26" s="74"/>
    </row>
    <row r="27" spans="1:32" x14ac:dyDescent="0.3">
      <c r="A27" s="438" t="s">
        <v>143</v>
      </c>
      <c r="B27" s="439"/>
      <c r="C27" s="433"/>
      <c r="D27" s="433"/>
      <c r="E27" s="433"/>
      <c r="F27" s="433"/>
      <c r="G27" s="433"/>
      <c r="H27" s="433"/>
      <c r="I27" s="433"/>
      <c r="J27" s="433"/>
      <c r="K27" s="433"/>
      <c r="L27" s="166"/>
      <c r="M27" s="166"/>
      <c r="N27" s="166"/>
      <c r="O27" s="434"/>
      <c r="P27" s="298"/>
      <c r="Q27" s="298"/>
      <c r="R27" s="298"/>
      <c r="S27" s="298"/>
      <c r="T27" s="298"/>
      <c r="U27" s="298"/>
      <c r="V27" s="298"/>
      <c r="W27" s="443"/>
      <c r="X27" s="162"/>
      <c r="Y27" s="162"/>
      <c r="Z27" s="74"/>
    </row>
    <row r="28" spans="1:32" ht="15" thickBot="1" x14ac:dyDescent="0.35">
      <c r="A28" s="428" t="s">
        <v>144</v>
      </c>
      <c r="B28" s="429"/>
      <c r="C28" s="442"/>
      <c r="D28" s="442"/>
      <c r="E28" s="442"/>
      <c r="F28" s="442"/>
      <c r="G28" s="442"/>
      <c r="H28" s="442"/>
      <c r="I28" s="442"/>
      <c r="J28" s="442"/>
      <c r="K28" s="442"/>
      <c r="L28" s="167"/>
      <c r="M28" s="167"/>
      <c r="N28" s="167"/>
      <c r="O28" s="444"/>
      <c r="P28" s="445"/>
      <c r="Q28" s="445"/>
      <c r="R28" s="445"/>
      <c r="S28" s="445"/>
      <c r="T28" s="445"/>
      <c r="U28" s="445"/>
      <c r="V28" s="445"/>
      <c r="W28" s="446"/>
      <c r="X28" s="168"/>
      <c r="Y28" s="168"/>
      <c r="Z28" s="82"/>
    </row>
    <row r="29" spans="1:32" x14ac:dyDescent="0.3">
      <c r="AB29" s="312"/>
      <c r="AC29" s="312"/>
      <c r="AD29" s="64"/>
      <c r="AE29" s="64"/>
      <c r="AF29" s="64"/>
    </row>
    <row r="30" spans="1:32" x14ac:dyDescent="0.3">
      <c r="AB30" s="477" t="s">
        <v>172</v>
      </c>
      <c r="AC30" s="477"/>
      <c r="AD30" s="477"/>
      <c r="AE30" s="477"/>
      <c r="AF30" s="478"/>
    </row>
    <row r="31" spans="1:32" ht="15" customHeight="1" thickBot="1" x14ac:dyDescent="0.35">
      <c r="O31" s="79"/>
      <c r="P31" s="80"/>
      <c r="Q31" s="80"/>
      <c r="R31" s="80"/>
      <c r="S31" s="80"/>
      <c r="T31" s="80"/>
      <c r="U31" s="80"/>
      <c r="V31" s="80"/>
      <c r="AB31" s="312"/>
      <c r="AC31" s="312"/>
      <c r="AD31" s="312"/>
      <c r="AE31" s="312"/>
      <c r="AF31" s="481"/>
    </row>
    <row r="32" spans="1:32" ht="60" customHeight="1" thickBot="1" x14ac:dyDescent="0.35">
      <c r="A32" s="447" t="s">
        <v>121</v>
      </c>
      <c r="B32" s="448"/>
      <c r="C32" s="448"/>
      <c r="D32" s="448"/>
      <c r="E32" s="448"/>
      <c r="F32" s="448"/>
      <c r="G32" s="448"/>
      <c r="H32" s="448"/>
      <c r="I32" s="448"/>
      <c r="J32" s="448"/>
      <c r="K32" s="448"/>
      <c r="L32" s="448"/>
      <c r="M32" s="448"/>
      <c r="N32" s="448"/>
      <c r="O32" s="448"/>
      <c r="P32" s="448"/>
      <c r="Q32" s="448"/>
      <c r="R32" s="448"/>
      <c r="S32" s="448"/>
      <c r="T32" s="448"/>
      <c r="U32" s="448"/>
      <c r="V32" s="448"/>
      <c r="W32" s="448"/>
      <c r="X32" s="449"/>
      <c r="Y32" s="449"/>
      <c r="Z32" s="450"/>
      <c r="AB32" s="482" t="s">
        <v>162</v>
      </c>
      <c r="AC32" s="482"/>
      <c r="AD32" s="483"/>
      <c r="AE32" s="479" t="s">
        <v>217</v>
      </c>
      <c r="AF32" s="480"/>
    </row>
    <row r="33" spans="1:26" x14ac:dyDescent="0.3">
      <c r="A33" s="451" t="s">
        <v>122</v>
      </c>
      <c r="B33" s="452"/>
      <c r="C33" s="484">
        <v>306</v>
      </c>
      <c r="D33" s="485"/>
      <c r="E33" s="485"/>
      <c r="F33" s="485"/>
      <c r="G33" s="485"/>
      <c r="H33" s="485"/>
      <c r="I33" s="486"/>
      <c r="J33"/>
      <c r="K33" s="482" t="s">
        <v>258</v>
      </c>
      <c r="L33" s="482"/>
      <c r="M33" s="483"/>
      <c r="N33" s="73"/>
      <c r="O33" s="71"/>
      <c r="P33"/>
      <c r="Q33"/>
      <c r="R33"/>
      <c r="S33"/>
      <c r="T33"/>
      <c r="U33"/>
      <c r="V33"/>
      <c r="W33"/>
      <c r="X33"/>
      <c r="Y33"/>
      <c r="Z33"/>
    </row>
    <row r="34" spans="1:26" ht="15" thickBot="1" x14ac:dyDescent="0.35">
      <c r="A34" s="453" t="s">
        <v>123</v>
      </c>
      <c r="B34" s="454"/>
      <c r="C34" s="487">
        <v>75</v>
      </c>
      <c r="D34" s="488"/>
      <c r="E34" s="488"/>
      <c r="F34" s="488"/>
      <c r="G34" s="488"/>
      <c r="H34" s="488"/>
      <c r="I34" s="489"/>
      <c r="J34"/>
      <c r="K34" s="482" t="s">
        <v>132</v>
      </c>
      <c r="L34" s="482"/>
      <c r="M34" s="483"/>
      <c r="N34" s="73"/>
      <c r="O34" s="83">
        <f>'1 MIX DESIGN FORM'!H60</f>
        <v>0</v>
      </c>
      <c r="P34"/>
      <c r="Q34"/>
      <c r="R34"/>
      <c r="S34"/>
      <c r="T34"/>
      <c r="U34"/>
      <c r="V34"/>
      <c r="W34"/>
      <c r="X34"/>
      <c r="Y34"/>
      <c r="Z34"/>
    </row>
    <row r="35" spans="1:26" x14ac:dyDescent="0.3">
      <c r="A35" s="459" t="s">
        <v>124</v>
      </c>
      <c r="B35" s="430"/>
      <c r="C35" s="204">
        <f>C8</f>
        <v>3.5000000000000003E-2</v>
      </c>
      <c r="D35" s="204">
        <f>G8</f>
        <v>0.04</v>
      </c>
      <c r="E35" s="204">
        <f>K8</f>
        <v>4.4999999999999998E-2</v>
      </c>
      <c r="F35" s="204">
        <f>O8</f>
        <v>0.05</v>
      </c>
      <c r="G35" s="204">
        <f>S8</f>
        <v>5.5E-2</v>
      </c>
      <c r="H35" s="204">
        <f>W8</f>
        <v>0.06</v>
      </c>
      <c r="I35" s="204"/>
      <c r="J35"/>
      <c r="K35" s="482" t="s">
        <v>163</v>
      </c>
      <c r="L35" s="482"/>
      <c r="M35" s="483"/>
      <c r="N35" s="73"/>
      <c r="O35" s="71"/>
      <c r="P35"/>
      <c r="Q35"/>
      <c r="R35"/>
      <c r="S35"/>
      <c r="T35"/>
      <c r="U35"/>
      <c r="V35"/>
      <c r="W35"/>
      <c r="X35"/>
      <c r="Y35"/>
      <c r="Z35"/>
    </row>
    <row r="36" spans="1:26" x14ac:dyDescent="0.3">
      <c r="A36" s="205"/>
      <c r="B36" s="185"/>
      <c r="C36" s="206">
        <f>C35*100</f>
        <v>3.5000000000000004</v>
      </c>
      <c r="D36" s="206">
        <f t="shared" ref="D36:I36" si="10">D35*100</f>
        <v>4</v>
      </c>
      <c r="E36" s="206">
        <f t="shared" si="10"/>
        <v>4.5</v>
      </c>
      <c r="F36" s="206">
        <f t="shared" si="10"/>
        <v>5</v>
      </c>
      <c r="G36" s="206">
        <f t="shared" si="10"/>
        <v>5.5</v>
      </c>
      <c r="H36" s="206">
        <f t="shared" si="10"/>
        <v>6</v>
      </c>
      <c r="I36" s="206">
        <f t="shared" si="10"/>
        <v>0</v>
      </c>
      <c r="J36"/>
      <c r="K36" s="169"/>
      <c r="L36" s="169"/>
      <c r="M36" s="170"/>
      <c r="N36" s="164"/>
      <c r="O36" s="160"/>
      <c r="P36"/>
      <c r="Q36"/>
      <c r="R36"/>
      <c r="S36"/>
      <c r="T36"/>
      <c r="U36"/>
      <c r="V36"/>
      <c r="W36"/>
      <c r="X36"/>
      <c r="Y36"/>
      <c r="Z36"/>
    </row>
    <row r="37" spans="1:26" x14ac:dyDescent="0.3">
      <c r="A37" s="438" t="s">
        <v>125</v>
      </c>
      <c r="B37" s="439"/>
      <c r="C37" s="490"/>
      <c r="D37" s="491"/>
      <c r="E37" s="491"/>
      <c r="F37" s="491"/>
      <c r="G37" s="491"/>
      <c r="H37" s="491"/>
      <c r="I37" s="492"/>
      <c r="J37"/>
      <c r="K37" s="482" t="s">
        <v>164</v>
      </c>
      <c r="L37" s="482"/>
      <c r="M37" s="483"/>
      <c r="N37" s="73"/>
      <c r="O37" s="71"/>
      <c r="P37"/>
      <c r="Q37"/>
      <c r="R37"/>
      <c r="S37"/>
      <c r="T37"/>
      <c r="U37"/>
      <c r="V37"/>
      <c r="W37"/>
      <c r="X37"/>
      <c r="Y37"/>
      <c r="Z37"/>
    </row>
    <row r="38" spans="1:26" ht="15" thickBot="1" x14ac:dyDescent="0.35">
      <c r="A38" s="457" t="s">
        <v>379</v>
      </c>
      <c r="B38" s="458"/>
      <c r="C38" s="444" t="s">
        <v>378</v>
      </c>
      <c r="D38" s="445"/>
      <c r="E38" s="445"/>
      <c r="F38" s="445"/>
      <c r="G38" s="445"/>
      <c r="H38" s="445"/>
      <c r="I38" s="493"/>
      <c r="J38"/>
      <c r="K38" s="482" t="s">
        <v>165</v>
      </c>
      <c r="L38" s="482"/>
      <c r="M38" s="483"/>
      <c r="N38" s="73"/>
      <c r="O38" s="84">
        <f>'1 MIX DESIGN FORM'!H61</f>
        <v>0</v>
      </c>
      <c r="P38"/>
      <c r="Q38"/>
      <c r="R38"/>
      <c r="S38"/>
      <c r="T38"/>
      <c r="U38"/>
      <c r="V38"/>
      <c r="W38"/>
      <c r="X38"/>
      <c r="Y38"/>
      <c r="Z38"/>
    </row>
    <row r="39" spans="1:26" ht="15" thickBot="1" x14ac:dyDescent="0.35">
      <c r="A39" s="457" t="s">
        <v>126</v>
      </c>
      <c r="B39" s="458"/>
      <c r="C39" s="494">
        <v>1.2E-2</v>
      </c>
      <c r="D39" s="495"/>
      <c r="E39" s="495"/>
      <c r="F39" s="495"/>
      <c r="G39" s="495"/>
      <c r="H39" s="495"/>
      <c r="I39" s="496"/>
      <c r="J39"/>
      <c r="K39" s="169"/>
      <c r="L39" s="169"/>
      <c r="M39" s="170"/>
      <c r="N39" s="164"/>
      <c r="O39" s="84"/>
      <c r="P39"/>
      <c r="Q39"/>
      <c r="R39"/>
      <c r="S39"/>
      <c r="T39"/>
      <c r="U39"/>
      <c r="V39"/>
      <c r="W39"/>
      <c r="X39"/>
      <c r="Y39"/>
      <c r="Z39"/>
    </row>
    <row r="40" spans="1:26" x14ac:dyDescent="0.3">
      <c r="A40" s="455" t="s">
        <v>127</v>
      </c>
      <c r="B40" s="456"/>
      <c r="C40" s="171">
        <v>1</v>
      </c>
      <c r="D40" s="171" t="s">
        <v>370</v>
      </c>
      <c r="E40" s="171" t="s">
        <v>371</v>
      </c>
      <c r="F40" s="171" t="s">
        <v>372</v>
      </c>
      <c r="G40" s="171">
        <v>5</v>
      </c>
      <c r="H40" s="171">
        <v>6</v>
      </c>
      <c r="I40" s="172" t="s">
        <v>7</v>
      </c>
      <c r="J40"/>
      <c r="K40" s="482" t="s">
        <v>166</v>
      </c>
      <c r="L40" s="482"/>
      <c r="M40" s="483"/>
      <c r="N40" s="73"/>
      <c r="O40" s="85">
        <f>'1 MIX DESIGN FORM'!H62</f>
        <v>0</v>
      </c>
      <c r="P40"/>
      <c r="Q40"/>
      <c r="R40"/>
      <c r="S40"/>
      <c r="T40"/>
      <c r="U40"/>
      <c r="V40"/>
      <c r="W40"/>
      <c r="X40"/>
      <c r="Y40"/>
      <c r="Z40"/>
    </row>
    <row r="41" spans="1:26" x14ac:dyDescent="0.3">
      <c r="A41" s="438" t="s">
        <v>128</v>
      </c>
      <c r="B41" s="439"/>
      <c r="C41" s="192"/>
      <c r="D41" s="190"/>
      <c r="E41" s="190"/>
      <c r="F41" s="190"/>
      <c r="G41" s="190"/>
      <c r="H41" s="173"/>
      <c r="I41" s="174"/>
      <c r="J41"/>
      <c r="K41" s="482" t="s">
        <v>150</v>
      </c>
      <c r="L41" s="482"/>
      <c r="M41" s="483"/>
      <c r="N41" s="73"/>
      <c r="O41" s="85">
        <f>'1 MIX DESIGN FORM'!H60</f>
        <v>0</v>
      </c>
      <c r="P41"/>
      <c r="Q41"/>
      <c r="R41"/>
      <c r="S41"/>
      <c r="T41"/>
      <c r="U41"/>
      <c r="V41"/>
      <c r="W41"/>
      <c r="X41"/>
      <c r="Y41"/>
      <c r="Z41"/>
    </row>
    <row r="42" spans="1:26" ht="15" thickBot="1" x14ac:dyDescent="0.35">
      <c r="A42" s="457" t="s">
        <v>129</v>
      </c>
      <c r="B42" s="458"/>
      <c r="C42" s="193"/>
      <c r="D42" s="191"/>
      <c r="E42" s="191"/>
      <c r="F42" s="191"/>
      <c r="G42" s="191"/>
      <c r="H42" s="181"/>
      <c r="I42" s="175"/>
      <c r="J42"/>
      <c r="K42" s="482" t="s">
        <v>167</v>
      </c>
      <c r="L42" s="482"/>
      <c r="M42" s="483"/>
      <c r="N42" s="73"/>
      <c r="O42" s="71" t="s">
        <v>173</v>
      </c>
      <c r="P42"/>
      <c r="Q42"/>
      <c r="R42"/>
      <c r="S42"/>
      <c r="T42"/>
      <c r="U42"/>
      <c r="V42"/>
      <c r="W42"/>
      <c r="X42"/>
      <c r="Y42"/>
      <c r="Z42"/>
    </row>
    <row r="43" spans="1:26" x14ac:dyDescent="0.3">
      <c r="A43" s="455" t="s">
        <v>130</v>
      </c>
      <c r="B43" s="456"/>
      <c r="C43" s="194">
        <f>F10</f>
        <v>3.5000000000000003E-2</v>
      </c>
      <c r="D43" s="194">
        <f>J10</f>
        <v>0.04</v>
      </c>
      <c r="E43" s="194">
        <f>N10</f>
        <v>4.4999999999999998E-2</v>
      </c>
      <c r="F43" s="194">
        <f>R10</f>
        <v>0.05</v>
      </c>
      <c r="G43" s="194">
        <f>V10</f>
        <v>5.5E-2</v>
      </c>
      <c r="H43" s="182">
        <f>Z10</f>
        <v>0.06</v>
      </c>
      <c r="I43" s="176"/>
      <c r="J43"/>
      <c r="K43" s="482" t="s">
        <v>168</v>
      </c>
      <c r="L43" s="482"/>
      <c r="M43" s="483"/>
      <c r="N43" s="73"/>
      <c r="O43" s="86" t="str">
        <f>IF('1 MIX DESIGN FORM'!N52="I","65-75",IF('1 MIX DESIGN FORM'!N52="II","65-78",""))</f>
        <v/>
      </c>
      <c r="P43"/>
      <c r="Q43"/>
      <c r="R43"/>
      <c r="S43"/>
      <c r="T43"/>
      <c r="U43"/>
      <c r="V43"/>
      <c r="W43"/>
      <c r="X43"/>
      <c r="Y43"/>
      <c r="Z43"/>
    </row>
    <row r="44" spans="1:26" x14ac:dyDescent="0.3">
      <c r="A44" s="438" t="s">
        <v>131</v>
      </c>
      <c r="B44" s="439"/>
      <c r="C44" s="130" t="str">
        <f t="shared" ref="C44:C57" si="11">F11</f>
        <v/>
      </c>
      <c r="D44" s="130" t="str">
        <f t="shared" ref="D44:D57" si="12">J11</f>
        <v/>
      </c>
      <c r="E44" s="130" t="str">
        <f t="shared" ref="E44:E57" si="13">N11</f>
        <v/>
      </c>
      <c r="F44" s="130" t="str">
        <f t="shared" ref="F44:F57" si="14">R11</f>
        <v/>
      </c>
      <c r="G44" s="130" t="str">
        <f t="shared" ref="G44:G57" si="15">V11</f>
        <v/>
      </c>
      <c r="H44" s="84" t="str">
        <f t="shared" ref="H44:H57" si="16">Z11</f>
        <v/>
      </c>
      <c r="I44" s="177"/>
      <c r="J44"/>
      <c r="K44" s="482" t="s">
        <v>169</v>
      </c>
      <c r="L44" s="482"/>
      <c r="M44" s="483"/>
      <c r="N44" s="73"/>
      <c r="O44" s="71"/>
      <c r="P44"/>
      <c r="Q44"/>
      <c r="R44"/>
      <c r="S44"/>
      <c r="T44"/>
      <c r="U44"/>
      <c r="V44"/>
      <c r="W44"/>
      <c r="X44"/>
      <c r="Y44"/>
      <c r="Z44"/>
    </row>
    <row r="45" spans="1:26" x14ac:dyDescent="0.3">
      <c r="A45" s="438" t="s">
        <v>327</v>
      </c>
      <c r="B45" s="439"/>
      <c r="C45" s="130">
        <f t="shared" si="11"/>
        <v>2.774</v>
      </c>
      <c r="D45" s="130">
        <f t="shared" si="12"/>
        <v>2.774</v>
      </c>
      <c r="E45" s="130">
        <f t="shared" si="13"/>
        <v>2.774</v>
      </c>
      <c r="F45" s="130">
        <f t="shared" si="14"/>
        <v>2.774</v>
      </c>
      <c r="G45" s="130">
        <f t="shared" si="15"/>
        <v>2.774</v>
      </c>
      <c r="H45" s="84">
        <f t="shared" si="16"/>
        <v>2.774</v>
      </c>
      <c r="I45" s="177"/>
      <c r="J45"/>
      <c r="K45" s="482" t="s">
        <v>170</v>
      </c>
      <c r="L45" s="482"/>
      <c r="M45" s="483"/>
      <c r="N45" s="73"/>
      <c r="O45" s="71" t="s">
        <v>174</v>
      </c>
      <c r="P45"/>
      <c r="Q45"/>
      <c r="R45"/>
      <c r="S45"/>
      <c r="T45"/>
      <c r="U45"/>
      <c r="V45"/>
      <c r="W45"/>
      <c r="X45"/>
      <c r="Y45"/>
      <c r="Z45"/>
    </row>
    <row r="46" spans="1:26" x14ac:dyDescent="0.3">
      <c r="A46" s="438" t="s">
        <v>132</v>
      </c>
      <c r="B46" s="439"/>
      <c r="C46" s="130">
        <f t="shared" si="11"/>
        <v>6.9</v>
      </c>
      <c r="D46" s="130">
        <f t="shared" si="12"/>
        <v>5.2</v>
      </c>
      <c r="E46" s="130">
        <f t="shared" si="13"/>
        <v>3.3</v>
      </c>
      <c r="F46" s="130">
        <f t="shared" si="14"/>
        <v>1.9</v>
      </c>
      <c r="G46" s="130">
        <f t="shared" si="15"/>
        <v>1.2</v>
      </c>
      <c r="H46" s="84">
        <f t="shared" si="16"/>
        <v>1.2</v>
      </c>
      <c r="I46" s="177">
        <v>4.4000000000000004</v>
      </c>
      <c r="J46"/>
      <c r="K46" s="482" t="s">
        <v>178</v>
      </c>
      <c r="L46" s="482"/>
      <c r="M46" s="483"/>
      <c r="N46" s="73"/>
      <c r="O46" s="71" t="s">
        <v>175</v>
      </c>
      <c r="P46"/>
      <c r="Q46"/>
      <c r="R46"/>
      <c r="S46"/>
      <c r="T46"/>
      <c r="U46"/>
      <c r="V46"/>
      <c r="W46"/>
      <c r="X46"/>
      <c r="Y46"/>
      <c r="Z46"/>
    </row>
    <row r="47" spans="1:26" x14ac:dyDescent="0.3">
      <c r="A47" s="438" t="s">
        <v>133</v>
      </c>
      <c r="B47" s="439"/>
      <c r="C47" s="130">
        <f t="shared" si="11"/>
        <v>2.4390000000000001</v>
      </c>
      <c r="D47" s="130">
        <f t="shared" si="12"/>
        <v>2.4649999999999999</v>
      </c>
      <c r="E47" s="130">
        <f t="shared" si="13"/>
        <v>2.4940000000000002</v>
      </c>
      <c r="F47" s="130">
        <f t="shared" si="14"/>
        <v>2.5099999999999998</v>
      </c>
      <c r="G47" s="130">
        <f t="shared" si="15"/>
        <v>2.508</v>
      </c>
      <c r="H47" s="84">
        <f t="shared" si="16"/>
        <v>2.508</v>
      </c>
      <c r="I47" s="177"/>
      <c r="J47"/>
      <c r="K47" s="482" t="s">
        <v>171</v>
      </c>
      <c r="L47" s="482"/>
      <c r="M47" s="483"/>
      <c r="N47" s="73"/>
      <c r="O47" s="84" t="s">
        <v>176</v>
      </c>
      <c r="P47"/>
      <c r="Q47"/>
      <c r="R47"/>
      <c r="S47"/>
      <c r="T47"/>
      <c r="U47"/>
      <c r="V47"/>
      <c r="W47"/>
      <c r="X47"/>
      <c r="Y47"/>
      <c r="Z47"/>
    </row>
    <row r="48" spans="1:26" x14ac:dyDescent="0.3">
      <c r="A48" s="469" t="s">
        <v>328</v>
      </c>
      <c r="B48" s="470"/>
      <c r="C48" s="130">
        <f t="shared" si="11"/>
        <v>152.1936</v>
      </c>
      <c r="D48" s="130">
        <f t="shared" si="12"/>
        <v>153.81599999999997</v>
      </c>
      <c r="E48" s="130">
        <f t="shared" si="13"/>
        <v>155.62560000000002</v>
      </c>
      <c r="F48" s="130">
        <f t="shared" si="14"/>
        <v>156.624</v>
      </c>
      <c r="G48" s="130">
        <f t="shared" si="15"/>
        <v>156.4992</v>
      </c>
      <c r="H48" s="84">
        <f t="shared" si="16"/>
        <v>156.4992</v>
      </c>
      <c r="I48" s="175"/>
      <c r="J48"/>
      <c r="K48" s="482" t="s">
        <v>323</v>
      </c>
      <c r="L48" s="482"/>
      <c r="M48" s="483"/>
      <c r="N48" s="73"/>
      <c r="O48" s="84" t="s">
        <v>177</v>
      </c>
      <c r="P48"/>
      <c r="Q48"/>
      <c r="R48"/>
      <c r="S48"/>
      <c r="T48"/>
      <c r="U48"/>
      <c r="V48"/>
      <c r="W48"/>
      <c r="X48"/>
      <c r="Y48"/>
      <c r="Z48"/>
    </row>
    <row r="49" spans="1:26" x14ac:dyDescent="0.3">
      <c r="A49" s="438" t="s">
        <v>134</v>
      </c>
      <c r="B49" s="439"/>
      <c r="C49" s="130">
        <f t="shared" si="11"/>
        <v>163.1</v>
      </c>
      <c r="D49" s="130">
        <f t="shared" si="12"/>
        <v>161.80000000000001</v>
      </c>
      <c r="E49" s="130">
        <f t="shared" si="13"/>
        <v>160.5</v>
      </c>
      <c r="F49" s="130">
        <f t="shared" si="14"/>
        <v>159.30000000000001</v>
      </c>
      <c r="G49" s="130">
        <f t="shared" si="15"/>
        <v>158</v>
      </c>
      <c r="H49" s="84">
        <f t="shared" si="16"/>
        <v>158</v>
      </c>
      <c r="I49" s="175"/>
      <c r="J49"/>
      <c r="K49" s="482" t="s">
        <v>140</v>
      </c>
      <c r="L49" s="482"/>
      <c r="M49" s="483"/>
      <c r="N49" s="73"/>
      <c r="O49" s="71"/>
      <c r="P49"/>
      <c r="Q49"/>
      <c r="R49"/>
      <c r="S49"/>
      <c r="T49"/>
      <c r="U49"/>
      <c r="V49"/>
      <c r="W49"/>
      <c r="X49"/>
      <c r="Y49"/>
      <c r="Z49"/>
    </row>
    <row r="50" spans="1:26" x14ac:dyDescent="0.3">
      <c r="A50" s="438" t="s">
        <v>135</v>
      </c>
      <c r="B50" s="439"/>
      <c r="C50" s="130">
        <f t="shared" si="11"/>
        <v>3988</v>
      </c>
      <c r="D50" s="130">
        <f t="shared" si="12"/>
        <v>3842</v>
      </c>
      <c r="E50" s="130">
        <f t="shared" si="13"/>
        <v>3657</v>
      </c>
      <c r="F50" s="130">
        <f t="shared" si="14"/>
        <v>3513</v>
      </c>
      <c r="G50" s="130">
        <f t="shared" si="15"/>
        <v>3377</v>
      </c>
      <c r="H50" s="84">
        <f t="shared" si="16"/>
        <v>3377</v>
      </c>
      <c r="I50" s="178">
        <f>0.25*MAX(A50:E50)</f>
        <v>997</v>
      </c>
      <c r="J50"/>
      <c r="K50" s="482" t="s">
        <v>218</v>
      </c>
      <c r="L50" s="482"/>
      <c r="M50" s="483"/>
      <c r="N50" s="73"/>
      <c r="O50" s="71"/>
      <c r="P50"/>
      <c r="Q50"/>
      <c r="R50"/>
      <c r="S50"/>
      <c r="T50"/>
      <c r="U50"/>
      <c r="V50"/>
      <c r="W50"/>
      <c r="X50"/>
      <c r="Y50"/>
      <c r="Z50"/>
    </row>
    <row r="51" spans="1:26" x14ac:dyDescent="0.3">
      <c r="A51" s="438" t="s">
        <v>136</v>
      </c>
      <c r="B51" s="439"/>
      <c r="C51" s="130">
        <f t="shared" si="11"/>
        <v>14.4</v>
      </c>
      <c r="D51" s="130">
        <f t="shared" si="12"/>
        <v>15.1</v>
      </c>
      <c r="E51" s="130">
        <f t="shared" si="13"/>
        <v>16.3</v>
      </c>
      <c r="F51" s="130">
        <f t="shared" si="14"/>
        <v>16.899999999999999</v>
      </c>
      <c r="G51" s="130">
        <f t="shared" si="15"/>
        <v>17.399999999999999</v>
      </c>
      <c r="H51" s="84">
        <f t="shared" si="16"/>
        <v>17.399999999999999</v>
      </c>
      <c r="I51" s="178">
        <v>3.6</v>
      </c>
      <c r="J51"/>
      <c r="K51" s="482" t="s">
        <v>219</v>
      </c>
      <c r="L51" s="482"/>
      <c r="M51" s="483"/>
      <c r="N51" s="73"/>
      <c r="O51" s="71"/>
      <c r="P51"/>
      <c r="Q51"/>
      <c r="R51"/>
      <c r="S51"/>
      <c r="T51"/>
      <c r="U51"/>
      <c r="V51"/>
      <c r="W51"/>
      <c r="X51"/>
      <c r="Y51"/>
      <c r="Z51"/>
    </row>
    <row r="52" spans="1:26" x14ac:dyDescent="0.3">
      <c r="A52" s="438" t="s">
        <v>137</v>
      </c>
      <c r="B52" s="439"/>
      <c r="C52" s="130">
        <f t="shared" si="11"/>
        <v>15.2</v>
      </c>
      <c r="D52" s="130">
        <f t="shared" si="12"/>
        <v>14.8</v>
      </c>
      <c r="E52" s="130">
        <f t="shared" si="13"/>
        <v>14.2</v>
      </c>
      <c r="F52" s="130">
        <f t="shared" si="14"/>
        <v>14.1</v>
      </c>
      <c r="G52" s="130">
        <f t="shared" si="15"/>
        <v>14.6</v>
      </c>
      <c r="H52" s="84">
        <f t="shared" si="16"/>
        <v>14.6</v>
      </c>
      <c r="I52" s="179"/>
      <c r="J52"/>
      <c r="K52" s="522" t="s">
        <v>444</v>
      </c>
      <c r="L52" s="521"/>
      <c r="M52" s="523"/>
      <c r="N52" s="501"/>
      <c r="O52" s="366"/>
      <c r="P52"/>
      <c r="Q52"/>
      <c r="R52"/>
      <c r="S52"/>
      <c r="T52"/>
      <c r="U52"/>
      <c r="V52"/>
      <c r="W52"/>
      <c r="X52"/>
      <c r="Y52"/>
      <c r="Z52"/>
    </row>
    <row r="53" spans="1:26" x14ac:dyDescent="0.3">
      <c r="A53" s="438" t="s">
        <v>138</v>
      </c>
      <c r="B53" s="439"/>
      <c r="C53" s="130">
        <f t="shared" si="11"/>
        <v>54.7</v>
      </c>
      <c r="D53" s="130">
        <f t="shared" si="12"/>
        <v>65</v>
      </c>
      <c r="E53" s="130">
        <f t="shared" si="13"/>
        <v>76.8</v>
      </c>
      <c r="F53" s="130">
        <f t="shared" si="14"/>
        <v>86.4</v>
      </c>
      <c r="G53" s="130">
        <f t="shared" si="15"/>
        <v>91.6</v>
      </c>
      <c r="H53" s="84">
        <f t="shared" si="16"/>
        <v>91.6</v>
      </c>
      <c r="I53" s="177"/>
      <c r="J53"/>
      <c r="K53" s="524" t="s">
        <v>445</v>
      </c>
      <c r="L53" s="276"/>
      <c r="M53" s="525"/>
      <c r="N53" s="501"/>
      <c r="O53" s="366"/>
      <c r="P53"/>
      <c r="Q53"/>
      <c r="R53"/>
      <c r="S53"/>
      <c r="T53"/>
      <c r="U53"/>
      <c r="V53"/>
      <c r="W53"/>
      <c r="X53"/>
      <c r="Y53"/>
      <c r="Z53"/>
    </row>
    <row r="54" spans="1:26" x14ac:dyDescent="0.3">
      <c r="A54" s="438" t="s">
        <v>139</v>
      </c>
      <c r="B54" s="439"/>
      <c r="C54" s="130">
        <f t="shared" si="11"/>
        <v>54.7</v>
      </c>
      <c r="D54" s="130">
        <f t="shared" si="12"/>
        <v>65</v>
      </c>
      <c r="E54" s="130">
        <f t="shared" si="13"/>
        <v>76.8</v>
      </c>
      <c r="F54" s="130">
        <f t="shared" si="14"/>
        <v>86.4</v>
      </c>
      <c r="G54" s="130">
        <f t="shared" si="15"/>
        <v>91.6</v>
      </c>
      <c r="H54" s="84">
        <f t="shared" si="16"/>
        <v>91.6</v>
      </c>
      <c r="I54" s="177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x14ac:dyDescent="0.3">
      <c r="A55" s="438" t="s">
        <v>325</v>
      </c>
      <c r="B55" s="439"/>
      <c r="C55" s="130">
        <f t="shared" si="11"/>
        <v>6.8</v>
      </c>
      <c r="D55" s="130">
        <f t="shared" si="12"/>
        <v>7.8</v>
      </c>
      <c r="E55" s="130">
        <f t="shared" si="13"/>
        <v>8.8000000000000007</v>
      </c>
      <c r="F55" s="130">
        <f t="shared" si="14"/>
        <v>9.8000000000000007</v>
      </c>
      <c r="G55" s="130">
        <f t="shared" si="15"/>
        <v>10.9</v>
      </c>
      <c r="H55" s="84">
        <f t="shared" si="16"/>
        <v>10.9</v>
      </c>
      <c r="I55" s="177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spans="1:26" x14ac:dyDescent="0.3">
      <c r="A56" s="469" t="s">
        <v>326</v>
      </c>
      <c r="B56" s="470"/>
      <c r="C56" s="130">
        <f t="shared" si="11"/>
        <v>7</v>
      </c>
      <c r="D56" s="130">
        <f t="shared" si="12"/>
        <v>7</v>
      </c>
      <c r="E56" s="130">
        <f t="shared" si="13"/>
        <v>7</v>
      </c>
      <c r="F56" s="130">
        <f t="shared" si="14"/>
        <v>7</v>
      </c>
      <c r="G56" s="130">
        <f t="shared" si="15"/>
        <v>7</v>
      </c>
      <c r="H56" s="84">
        <f t="shared" si="16"/>
        <v>7</v>
      </c>
      <c r="I56" s="175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 ht="15" thickBot="1" x14ac:dyDescent="0.35">
      <c r="A57" s="428" t="s">
        <v>140</v>
      </c>
      <c r="B57" s="429"/>
      <c r="C57" s="195">
        <f t="shared" si="11"/>
        <v>1.8</v>
      </c>
      <c r="D57" s="195">
        <f t="shared" si="12"/>
        <v>1.6</v>
      </c>
      <c r="E57" s="195">
        <f t="shared" si="13"/>
        <v>1.4</v>
      </c>
      <c r="F57" s="195">
        <f t="shared" si="14"/>
        <v>1.3</v>
      </c>
      <c r="G57" s="195">
        <f t="shared" si="15"/>
        <v>1.1000000000000001</v>
      </c>
      <c r="H57" s="186">
        <f t="shared" si="16"/>
        <v>1.1000000000000001</v>
      </c>
      <c r="I57" s="180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1:26" x14ac:dyDescent="0.3">
      <c r="A58" s="440" t="s">
        <v>141</v>
      </c>
      <c r="B58" s="441"/>
      <c r="C58" s="198"/>
      <c r="D58" s="198"/>
      <c r="E58" s="163"/>
      <c r="F58" s="198"/>
      <c r="G58" s="198"/>
      <c r="H58" s="199"/>
      <c r="I58" s="72" t="s">
        <v>7</v>
      </c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spans="1:26" x14ac:dyDescent="0.3">
      <c r="A59" s="438" t="s">
        <v>142</v>
      </c>
      <c r="B59" s="439"/>
      <c r="C59" s="196"/>
      <c r="D59" s="196"/>
      <c r="E59" s="166"/>
      <c r="F59" s="200"/>
      <c r="G59" s="200"/>
      <c r="H59" s="201"/>
      <c r="I59" s="165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 x14ac:dyDescent="0.3">
      <c r="A60" s="438" t="s">
        <v>143</v>
      </c>
      <c r="B60" s="439"/>
      <c r="C60" s="196"/>
      <c r="D60" s="196"/>
      <c r="E60" s="166"/>
      <c r="F60" s="200"/>
      <c r="G60" s="200"/>
      <c r="H60" s="201"/>
      <c r="I60" s="165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spans="1:26" ht="15" thickBot="1" x14ac:dyDescent="0.35">
      <c r="A61" s="428" t="s">
        <v>144</v>
      </c>
      <c r="B61" s="429"/>
      <c r="C61" s="197"/>
      <c r="D61" s="197"/>
      <c r="E61" s="167"/>
      <c r="F61" s="202"/>
      <c r="G61" s="202"/>
      <c r="H61" s="203"/>
      <c r="I61" s="82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8" spans="10:10" x14ac:dyDescent="0.3">
      <c r="J68" s="161" t="str">
        <f>CHAR(176)</f>
        <v>°</v>
      </c>
    </row>
  </sheetData>
  <mergeCells count="116">
    <mergeCell ref="K53:M53"/>
    <mergeCell ref="N52:N53"/>
    <mergeCell ref="O52:O53"/>
    <mergeCell ref="A49:B49"/>
    <mergeCell ref="A50:B50"/>
    <mergeCell ref="A51:B51"/>
    <mergeCell ref="A52:B52"/>
    <mergeCell ref="A43:B43"/>
    <mergeCell ref="A44:B44"/>
    <mergeCell ref="A45:B45"/>
    <mergeCell ref="A46:B46"/>
    <mergeCell ref="K52:M52"/>
    <mergeCell ref="A60:B60"/>
    <mergeCell ref="A61:B61"/>
    <mergeCell ref="A58:B58"/>
    <mergeCell ref="A59:B59"/>
    <mergeCell ref="A53:B53"/>
    <mergeCell ref="A54:B54"/>
    <mergeCell ref="A55:B55"/>
    <mergeCell ref="A56:B56"/>
    <mergeCell ref="A57:B57"/>
    <mergeCell ref="C8:F8"/>
    <mergeCell ref="C9:F9"/>
    <mergeCell ref="A32:Z32"/>
    <mergeCell ref="W8:Y8"/>
    <mergeCell ref="W9:Y9"/>
    <mergeCell ref="K50:M50"/>
    <mergeCell ref="K51:M51"/>
    <mergeCell ref="A27:B27"/>
    <mergeCell ref="A47:B47"/>
    <mergeCell ref="A42:B42"/>
    <mergeCell ref="A40:B40"/>
    <mergeCell ref="A41:B41"/>
    <mergeCell ref="A37:B37"/>
    <mergeCell ref="A38:B38"/>
    <mergeCell ref="A33:B33"/>
    <mergeCell ref="A34:B34"/>
    <mergeCell ref="A35:B35"/>
    <mergeCell ref="C33:I33"/>
    <mergeCell ref="C34:I34"/>
    <mergeCell ref="C37:I37"/>
    <mergeCell ref="C38:I38"/>
    <mergeCell ref="A39:B39"/>
    <mergeCell ref="C39:I39"/>
    <mergeCell ref="A48:B48"/>
    <mergeCell ref="K49:M49"/>
    <mergeCell ref="K40:M40"/>
    <mergeCell ref="K41:M41"/>
    <mergeCell ref="K42:M42"/>
    <mergeCell ref="K43:M43"/>
    <mergeCell ref="K44:M44"/>
    <mergeCell ref="K33:M33"/>
    <mergeCell ref="K34:M34"/>
    <mergeCell ref="K35:M35"/>
    <mergeCell ref="K37:M37"/>
    <mergeCell ref="K38:M38"/>
    <mergeCell ref="G9:I9"/>
    <mergeCell ref="K9:M9"/>
    <mergeCell ref="AB30:AF30"/>
    <mergeCell ref="AE32:AF32"/>
    <mergeCell ref="AB31:AF31"/>
    <mergeCell ref="K45:M45"/>
    <mergeCell ref="K46:M46"/>
    <mergeCell ref="K47:M47"/>
    <mergeCell ref="K48:M48"/>
    <mergeCell ref="AB32:AD32"/>
    <mergeCell ref="O9:Q9"/>
    <mergeCell ref="S9:U9"/>
    <mergeCell ref="A1:Z1"/>
    <mergeCell ref="A2:B2"/>
    <mergeCell ref="A3:B3"/>
    <mergeCell ref="A19:B19"/>
    <mergeCell ref="A7:B7"/>
    <mergeCell ref="A8:B8"/>
    <mergeCell ref="A9:B9"/>
    <mergeCell ref="A10:B10"/>
    <mergeCell ref="A11:B11"/>
    <mergeCell ref="A12:B12"/>
    <mergeCell ref="A13:B13"/>
    <mergeCell ref="A14:B14"/>
    <mergeCell ref="A16:B16"/>
    <mergeCell ref="A17:B17"/>
    <mergeCell ref="A18:B18"/>
    <mergeCell ref="A4:B4"/>
    <mergeCell ref="A5:B5"/>
    <mergeCell ref="A6:B6"/>
    <mergeCell ref="C2:Z2"/>
    <mergeCell ref="C3:Z3"/>
    <mergeCell ref="A15:B15"/>
    <mergeCell ref="G8:I8"/>
    <mergeCell ref="K8:M8"/>
    <mergeCell ref="O8:Q8"/>
    <mergeCell ref="AB29:AC29"/>
    <mergeCell ref="A28:B28"/>
    <mergeCell ref="C4:K4"/>
    <mergeCell ref="O4:Z4"/>
    <mergeCell ref="C5:K5"/>
    <mergeCell ref="O5:Z5"/>
    <mergeCell ref="C6:K6"/>
    <mergeCell ref="O6:Z6"/>
    <mergeCell ref="A20:B20"/>
    <mergeCell ref="A21:B21"/>
    <mergeCell ref="A22:B22"/>
    <mergeCell ref="A24:B24"/>
    <mergeCell ref="A26:B26"/>
    <mergeCell ref="A25:B25"/>
    <mergeCell ref="C26:K26"/>
    <mergeCell ref="C27:K27"/>
    <mergeCell ref="C28:K28"/>
    <mergeCell ref="O26:W26"/>
    <mergeCell ref="O27:W27"/>
    <mergeCell ref="O28:W28"/>
    <mergeCell ref="O25:W25"/>
    <mergeCell ref="C25:K25"/>
    <mergeCell ref="A23:B23"/>
    <mergeCell ref="S8:U8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0E55D-058D-4DEC-B192-DD21AC8A1B4A}">
  <dimension ref="A1"/>
  <sheetViews>
    <sheetView view="pageLayout" topLeftCell="A35" zoomScaleNormal="130" workbookViewId="0">
      <selection activeCell="S56" sqref="S56"/>
    </sheetView>
  </sheetViews>
  <sheetFormatPr defaultColWidth="8.77734375" defaultRowHeight="14.4" x14ac:dyDescent="0.3"/>
  <cols>
    <col min="1" max="1" width="1.33203125" customWidth="1"/>
  </cols>
  <sheetData/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375EF-463D-484B-A317-AA9D3F7D3154}">
  <dimension ref="A1:E9"/>
  <sheetViews>
    <sheetView workbookViewId="0">
      <selection activeCell="N33" sqref="N33"/>
    </sheetView>
  </sheetViews>
  <sheetFormatPr defaultRowHeight="14.4" x14ac:dyDescent="0.3"/>
  <cols>
    <col min="1" max="1" width="42.88671875" bestFit="1" customWidth="1"/>
    <col min="3" max="3" width="11.5546875" customWidth="1"/>
    <col min="5" max="5" width="13.6640625" customWidth="1"/>
  </cols>
  <sheetData>
    <row r="1" spans="1:5" x14ac:dyDescent="0.3">
      <c r="A1" s="497" t="s">
        <v>147</v>
      </c>
      <c r="B1" s="503" t="s">
        <v>48</v>
      </c>
      <c r="C1" s="503"/>
      <c r="D1" s="503" t="s">
        <v>49</v>
      </c>
      <c r="E1" s="504"/>
    </row>
    <row r="2" spans="1:5" x14ac:dyDescent="0.3">
      <c r="A2" s="498"/>
      <c r="B2" s="501" t="s">
        <v>153</v>
      </c>
      <c r="C2" s="501"/>
      <c r="D2" s="501" t="s">
        <v>154</v>
      </c>
      <c r="E2" s="502"/>
    </row>
    <row r="3" spans="1:5" x14ac:dyDescent="0.3">
      <c r="A3" s="42" t="s">
        <v>221</v>
      </c>
      <c r="B3" s="366">
        <v>75</v>
      </c>
      <c r="C3" s="366"/>
      <c r="D3" s="366">
        <v>50</v>
      </c>
      <c r="E3" s="505"/>
    </row>
    <row r="4" spans="1:5" x14ac:dyDescent="0.3">
      <c r="A4" s="42" t="s">
        <v>148</v>
      </c>
      <c r="B4" s="13" t="s">
        <v>155</v>
      </c>
      <c r="C4" s="13" t="s">
        <v>156</v>
      </c>
      <c r="D4" s="13" t="s">
        <v>155</v>
      </c>
      <c r="E4" s="37" t="s">
        <v>156</v>
      </c>
    </row>
    <row r="5" spans="1:5" x14ac:dyDescent="0.3">
      <c r="A5" s="42" t="s">
        <v>135</v>
      </c>
      <c r="B5" s="13">
        <v>1800</v>
      </c>
      <c r="C5" s="44" t="s">
        <v>157</v>
      </c>
      <c r="D5" s="13">
        <v>1500</v>
      </c>
      <c r="E5" s="45" t="s">
        <v>158</v>
      </c>
    </row>
    <row r="6" spans="1:5" x14ac:dyDescent="0.3">
      <c r="A6" s="42" t="s">
        <v>149</v>
      </c>
      <c r="B6" s="13">
        <v>8</v>
      </c>
      <c r="C6" s="13">
        <v>14</v>
      </c>
      <c r="D6" s="13">
        <v>8</v>
      </c>
      <c r="E6" s="37">
        <v>16</v>
      </c>
    </row>
    <row r="7" spans="1:5" x14ac:dyDescent="0.3">
      <c r="A7" s="42" t="s">
        <v>150</v>
      </c>
      <c r="B7" s="13">
        <v>3</v>
      </c>
      <c r="C7" s="13">
        <v>5</v>
      </c>
      <c r="D7" s="13">
        <v>3</v>
      </c>
      <c r="E7" s="37">
        <v>5</v>
      </c>
    </row>
    <row r="8" spans="1:5" x14ac:dyDescent="0.3">
      <c r="A8" s="42" t="s">
        <v>151</v>
      </c>
      <c r="B8" s="13">
        <v>65</v>
      </c>
      <c r="C8" s="13">
        <v>75</v>
      </c>
      <c r="D8" s="13">
        <v>65</v>
      </c>
      <c r="E8" s="37">
        <v>78</v>
      </c>
    </row>
    <row r="9" spans="1:5" ht="15" thickBot="1" x14ac:dyDescent="0.35">
      <c r="A9" s="43" t="s">
        <v>152</v>
      </c>
      <c r="B9" s="499"/>
      <c r="C9" s="499"/>
      <c r="D9" s="499"/>
      <c r="E9" s="500"/>
    </row>
  </sheetData>
  <mergeCells count="8">
    <mergeCell ref="A1:A2"/>
    <mergeCell ref="B9:E9"/>
    <mergeCell ref="B2:C2"/>
    <mergeCell ref="D2:E2"/>
    <mergeCell ref="B1:C1"/>
    <mergeCell ref="D1:E1"/>
    <mergeCell ref="B3:C3"/>
    <mergeCell ref="D3:E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688C-7F88-4602-BC53-AB5C3BF6A338}">
  <dimension ref="A1:L58"/>
  <sheetViews>
    <sheetView workbookViewId="0">
      <selection activeCell="D61" sqref="D61"/>
    </sheetView>
  </sheetViews>
  <sheetFormatPr defaultColWidth="9.109375" defaultRowHeight="13.2" x14ac:dyDescent="0.25"/>
  <cols>
    <col min="1" max="1" width="4.88671875" style="210" customWidth="1"/>
    <col min="2" max="2" width="12.5546875" style="210" customWidth="1"/>
    <col min="3" max="3" width="10.33203125" style="210" customWidth="1"/>
    <col min="4" max="4" width="8.33203125" style="210" customWidth="1"/>
    <col min="5" max="5" width="8.6640625" style="210" customWidth="1"/>
    <col min="6" max="7" width="8.33203125" style="210" customWidth="1"/>
    <col min="8" max="8" width="9.44140625" style="210" customWidth="1"/>
    <col min="9" max="9" width="11" style="210" customWidth="1"/>
    <col min="10" max="10" width="8.33203125" style="210" customWidth="1"/>
    <col min="11" max="11" width="9" style="210" customWidth="1"/>
    <col min="12" max="12" width="4.6640625" style="210" customWidth="1"/>
    <col min="13" max="256" width="9.109375" style="210"/>
    <col min="257" max="257" width="4.88671875" style="210" customWidth="1"/>
    <col min="258" max="258" width="12.5546875" style="210" customWidth="1"/>
    <col min="259" max="259" width="10.33203125" style="210" customWidth="1"/>
    <col min="260" max="260" width="8.33203125" style="210" customWidth="1"/>
    <col min="261" max="261" width="8.6640625" style="210" customWidth="1"/>
    <col min="262" max="263" width="8.33203125" style="210" customWidth="1"/>
    <col min="264" max="264" width="9.44140625" style="210" customWidth="1"/>
    <col min="265" max="265" width="11" style="210" customWidth="1"/>
    <col min="266" max="266" width="8.33203125" style="210" customWidth="1"/>
    <col min="267" max="267" width="9" style="210" customWidth="1"/>
    <col min="268" max="268" width="4.6640625" style="210" customWidth="1"/>
    <col min="269" max="512" width="9.109375" style="210"/>
    <col min="513" max="513" width="4.88671875" style="210" customWidth="1"/>
    <col min="514" max="514" width="12.5546875" style="210" customWidth="1"/>
    <col min="515" max="515" width="10.33203125" style="210" customWidth="1"/>
    <col min="516" max="516" width="8.33203125" style="210" customWidth="1"/>
    <col min="517" max="517" width="8.6640625" style="210" customWidth="1"/>
    <col min="518" max="519" width="8.33203125" style="210" customWidth="1"/>
    <col min="520" max="520" width="9.44140625" style="210" customWidth="1"/>
    <col min="521" max="521" width="11" style="210" customWidth="1"/>
    <col min="522" max="522" width="8.33203125" style="210" customWidth="1"/>
    <col min="523" max="523" width="9" style="210" customWidth="1"/>
    <col min="524" max="524" width="4.6640625" style="210" customWidth="1"/>
    <col min="525" max="768" width="9.109375" style="210"/>
    <col min="769" max="769" width="4.88671875" style="210" customWidth="1"/>
    <col min="770" max="770" width="12.5546875" style="210" customWidth="1"/>
    <col min="771" max="771" width="10.33203125" style="210" customWidth="1"/>
    <col min="772" max="772" width="8.33203125" style="210" customWidth="1"/>
    <col min="773" max="773" width="8.6640625" style="210" customWidth="1"/>
    <col min="774" max="775" width="8.33203125" style="210" customWidth="1"/>
    <col min="776" max="776" width="9.44140625" style="210" customWidth="1"/>
    <col min="777" max="777" width="11" style="210" customWidth="1"/>
    <col min="778" max="778" width="8.33203125" style="210" customWidth="1"/>
    <col min="779" max="779" width="9" style="210" customWidth="1"/>
    <col min="780" max="780" width="4.6640625" style="210" customWidth="1"/>
    <col min="781" max="1024" width="9.109375" style="210"/>
    <col min="1025" max="1025" width="4.88671875" style="210" customWidth="1"/>
    <col min="1026" max="1026" width="12.5546875" style="210" customWidth="1"/>
    <col min="1027" max="1027" width="10.33203125" style="210" customWidth="1"/>
    <col min="1028" max="1028" width="8.33203125" style="210" customWidth="1"/>
    <col min="1029" max="1029" width="8.6640625" style="210" customWidth="1"/>
    <col min="1030" max="1031" width="8.33203125" style="210" customWidth="1"/>
    <col min="1032" max="1032" width="9.44140625" style="210" customWidth="1"/>
    <col min="1033" max="1033" width="11" style="210" customWidth="1"/>
    <col min="1034" max="1034" width="8.33203125" style="210" customWidth="1"/>
    <col min="1035" max="1035" width="9" style="210" customWidth="1"/>
    <col min="1036" max="1036" width="4.6640625" style="210" customWidth="1"/>
    <col min="1037" max="1280" width="9.109375" style="210"/>
    <col min="1281" max="1281" width="4.88671875" style="210" customWidth="1"/>
    <col min="1282" max="1282" width="12.5546875" style="210" customWidth="1"/>
    <col min="1283" max="1283" width="10.33203125" style="210" customWidth="1"/>
    <col min="1284" max="1284" width="8.33203125" style="210" customWidth="1"/>
    <col min="1285" max="1285" width="8.6640625" style="210" customWidth="1"/>
    <col min="1286" max="1287" width="8.33203125" style="210" customWidth="1"/>
    <col min="1288" max="1288" width="9.44140625" style="210" customWidth="1"/>
    <col min="1289" max="1289" width="11" style="210" customWidth="1"/>
    <col min="1290" max="1290" width="8.33203125" style="210" customWidth="1"/>
    <col min="1291" max="1291" width="9" style="210" customWidth="1"/>
    <col min="1292" max="1292" width="4.6640625" style="210" customWidth="1"/>
    <col min="1293" max="1536" width="9.109375" style="210"/>
    <col min="1537" max="1537" width="4.88671875" style="210" customWidth="1"/>
    <col min="1538" max="1538" width="12.5546875" style="210" customWidth="1"/>
    <col min="1539" max="1539" width="10.33203125" style="210" customWidth="1"/>
    <col min="1540" max="1540" width="8.33203125" style="210" customWidth="1"/>
    <col min="1541" max="1541" width="8.6640625" style="210" customWidth="1"/>
    <col min="1542" max="1543" width="8.33203125" style="210" customWidth="1"/>
    <col min="1544" max="1544" width="9.44140625" style="210" customWidth="1"/>
    <col min="1545" max="1545" width="11" style="210" customWidth="1"/>
    <col min="1546" max="1546" width="8.33203125" style="210" customWidth="1"/>
    <col min="1547" max="1547" width="9" style="210" customWidth="1"/>
    <col min="1548" max="1548" width="4.6640625" style="210" customWidth="1"/>
    <col min="1549" max="1792" width="9.109375" style="210"/>
    <col min="1793" max="1793" width="4.88671875" style="210" customWidth="1"/>
    <col min="1794" max="1794" width="12.5546875" style="210" customWidth="1"/>
    <col min="1795" max="1795" width="10.33203125" style="210" customWidth="1"/>
    <col min="1796" max="1796" width="8.33203125" style="210" customWidth="1"/>
    <col min="1797" max="1797" width="8.6640625" style="210" customWidth="1"/>
    <col min="1798" max="1799" width="8.33203125" style="210" customWidth="1"/>
    <col min="1800" max="1800" width="9.44140625" style="210" customWidth="1"/>
    <col min="1801" max="1801" width="11" style="210" customWidth="1"/>
    <col min="1802" max="1802" width="8.33203125" style="210" customWidth="1"/>
    <col min="1803" max="1803" width="9" style="210" customWidth="1"/>
    <col min="1804" max="1804" width="4.6640625" style="210" customWidth="1"/>
    <col min="1805" max="2048" width="9.109375" style="210"/>
    <col min="2049" max="2049" width="4.88671875" style="210" customWidth="1"/>
    <col min="2050" max="2050" width="12.5546875" style="210" customWidth="1"/>
    <col min="2051" max="2051" width="10.33203125" style="210" customWidth="1"/>
    <col min="2052" max="2052" width="8.33203125" style="210" customWidth="1"/>
    <col min="2053" max="2053" width="8.6640625" style="210" customWidth="1"/>
    <col min="2054" max="2055" width="8.33203125" style="210" customWidth="1"/>
    <col min="2056" max="2056" width="9.44140625" style="210" customWidth="1"/>
    <col min="2057" max="2057" width="11" style="210" customWidth="1"/>
    <col min="2058" max="2058" width="8.33203125" style="210" customWidth="1"/>
    <col min="2059" max="2059" width="9" style="210" customWidth="1"/>
    <col min="2060" max="2060" width="4.6640625" style="210" customWidth="1"/>
    <col min="2061" max="2304" width="9.109375" style="210"/>
    <col min="2305" max="2305" width="4.88671875" style="210" customWidth="1"/>
    <col min="2306" max="2306" width="12.5546875" style="210" customWidth="1"/>
    <col min="2307" max="2307" width="10.33203125" style="210" customWidth="1"/>
    <col min="2308" max="2308" width="8.33203125" style="210" customWidth="1"/>
    <col min="2309" max="2309" width="8.6640625" style="210" customWidth="1"/>
    <col min="2310" max="2311" width="8.33203125" style="210" customWidth="1"/>
    <col min="2312" max="2312" width="9.44140625" style="210" customWidth="1"/>
    <col min="2313" max="2313" width="11" style="210" customWidth="1"/>
    <col min="2314" max="2314" width="8.33203125" style="210" customWidth="1"/>
    <col min="2315" max="2315" width="9" style="210" customWidth="1"/>
    <col min="2316" max="2316" width="4.6640625" style="210" customWidth="1"/>
    <col min="2317" max="2560" width="9.109375" style="210"/>
    <col min="2561" max="2561" width="4.88671875" style="210" customWidth="1"/>
    <col min="2562" max="2562" width="12.5546875" style="210" customWidth="1"/>
    <col min="2563" max="2563" width="10.33203125" style="210" customWidth="1"/>
    <col min="2564" max="2564" width="8.33203125" style="210" customWidth="1"/>
    <col min="2565" max="2565" width="8.6640625" style="210" customWidth="1"/>
    <col min="2566" max="2567" width="8.33203125" style="210" customWidth="1"/>
    <col min="2568" max="2568" width="9.44140625" style="210" customWidth="1"/>
    <col min="2569" max="2569" width="11" style="210" customWidth="1"/>
    <col min="2570" max="2570" width="8.33203125" style="210" customWidth="1"/>
    <col min="2571" max="2571" width="9" style="210" customWidth="1"/>
    <col min="2572" max="2572" width="4.6640625" style="210" customWidth="1"/>
    <col min="2573" max="2816" width="9.109375" style="210"/>
    <col min="2817" max="2817" width="4.88671875" style="210" customWidth="1"/>
    <col min="2818" max="2818" width="12.5546875" style="210" customWidth="1"/>
    <col min="2819" max="2819" width="10.33203125" style="210" customWidth="1"/>
    <col min="2820" max="2820" width="8.33203125" style="210" customWidth="1"/>
    <col min="2821" max="2821" width="8.6640625" style="210" customWidth="1"/>
    <col min="2822" max="2823" width="8.33203125" style="210" customWidth="1"/>
    <col min="2824" max="2824" width="9.44140625" style="210" customWidth="1"/>
    <col min="2825" max="2825" width="11" style="210" customWidth="1"/>
    <col min="2826" max="2826" width="8.33203125" style="210" customWidth="1"/>
    <col min="2827" max="2827" width="9" style="210" customWidth="1"/>
    <col min="2828" max="2828" width="4.6640625" style="210" customWidth="1"/>
    <col min="2829" max="3072" width="9.109375" style="210"/>
    <col min="3073" max="3073" width="4.88671875" style="210" customWidth="1"/>
    <col min="3074" max="3074" width="12.5546875" style="210" customWidth="1"/>
    <col min="3075" max="3075" width="10.33203125" style="210" customWidth="1"/>
    <col min="3076" max="3076" width="8.33203125" style="210" customWidth="1"/>
    <col min="3077" max="3077" width="8.6640625" style="210" customWidth="1"/>
    <col min="3078" max="3079" width="8.33203125" style="210" customWidth="1"/>
    <col min="3080" max="3080" width="9.44140625" style="210" customWidth="1"/>
    <col min="3081" max="3081" width="11" style="210" customWidth="1"/>
    <col min="3082" max="3082" width="8.33203125" style="210" customWidth="1"/>
    <col min="3083" max="3083" width="9" style="210" customWidth="1"/>
    <col min="3084" max="3084" width="4.6640625" style="210" customWidth="1"/>
    <col min="3085" max="3328" width="9.109375" style="210"/>
    <col min="3329" max="3329" width="4.88671875" style="210" customWidth="1"/>
    <col min="3330" max="3330" width="12.5546875" style="210" customWidth="1"/>
    <col min="3331" max="3331" width="10.33203125" style="210" customWidth="1"/>
    <col min="3332" max="3332" width="8.33203125" style="210" customWidth="1"/>
    <col min="3333" max="3333" width="8.6640625" style="210" customWidth="1"/>
    <col min="3334" max="3335" width="8.33203125" style="210" customWidth="1"/>
    <col min="3336" max="3336" width="9.44140625" style="210" customWidth="1"/>
    <col min="3337" max="3337" width="11" style="210" customWidth="1"/>
    <col min="3338" max="3338" width="8.33203125" style="210" customWidth="1"/>
    <col min="3339" max="3339" width="9" style="210" customWidth="1"/>
    <col min="3340" max="3340" width="4.6640625" style="210" customWidth="1"/>
    <col min="3341" max="3584" width="9.109375" style="210"/>
    <col min="3585" max="3585" width="4.88671875" style="210" customWidth="1"/>
    <col min="3586" max="3586" width="12.5546875" style="210" customWidth="1"/>
    <col min="3587" max="3587" width="10.33203125" style="210" customWidth="1"/>
    <col min="3588" max="3588" width="8.33203125" style="210" customWidth="1"/>
    <col min="3589" max="3589" width="8.6640625" style="210" customWidth="1"/>
    <col min="3590" max="3591" width="8.33203125" style="210" customWidth="1"/>
    <col min="3592" max="3592" width="9.44140625" style="210" customWidth="1"/>
    <col min="3593" max="3593" width="11" style="210" customWidth="1"/>
    <col min="3594" max="3594" width="8.33203125" style="210" customWidth="1"/>
    <col min="3595" max="3595" width="9" style="210" customWidth="1"/>
    <col min="3596" max="3596" width="4.6640625" style="210" customWidth="1"/>
    <col min="3597" max="3840" width="9.109375" style="210"/>
    <col min="3841" max="3841" width="4.88671875" style="210" customWidth="1"/>
    <col min="3842" max="3842" width="12.5546875" style="210" customWidth="1"/>
    <col min="3843" max="3843" width="10.33203125" style="210" customWidth="1"/>
    <col min="3844" max="3844" width="8.33203125" style="210" customWidth="1"/>
    <col min="3845" max="3845" width="8.6640625" style="210" customWidth="1"/>
    <col min="3846" max="3847" width="8.33203125" style="210" customWidth="1"/>
    <col min="3848" max="3848" width="9.44140625" style="210" customWidth="1"/>
    <col min="3849" max="3849" width="11" style="210" customWidth="1"/>
    <col min="3850" max="3850" width="8.33203125" style="210" customWidth="1"/>
    <col min="3851" max="3851" width="9" style="210" customWidth="1"/>
    <col min="3852" max="3852" width="4.6640625" style="210" customWidth="1"/>
    <col min="3853" max="4096" width="9.109375" style="210"/>
    <col min="4097" max="4097" width="4.88671875" style="210" customWidth="1"/>
    <col min="4098" max="4098" width="12.5546875" style="210" customWidth="1"/>
    <col min="4099" max="4099" width="10.33203125" style="210" customWidth="1"/>
    <col min="4100" max="4100" width="8.33203125" style="210" customWidth="1"/>
    <col min="4101" max="4101" width="8.6640625" style="210" customWidth="1"/>
    <col min="4102" max="4103" width="8.33203125" style="210" customWidth="1"/>
    <col min="4104" max="4104" width="9.44140625" style="210" customWidth="1"/>
    <col min="4105" max="4105" width="11" style="210" customWidth="1"/>
    <col min="4106" max="4106" width="8.33203125" style="210" customWidth="1"/>
    <col min="4107" max="4107" width="9" style="210" customWidth="1"/>
    <col min="4108" max="4108" width="4.6640625" style="210" customWidth="1"/>
    <col min="4109" max="4352" width="9.109375" style="210"/>
    <col min="4353" max="4353" width="4.88671875" style="210" customWidth="1"/>
    <col min="4354" max="4354" width="12.5546875" style="210" customWidth="1"/>
    <col min="4355" max="4355" width="10.33203125" style="210" customWidth="1"/>
    <col min="4356" max="4356" width="8.33203125" style="210" customWidth="1"/>
    <col min="4357" max="4357" width="8.6640625" style="210" customWidth="1"/>
    <col min="4358" max="4359" width="8.33203125" style="210" customWidth="1"/>
    <col min="4360" max="4360" width="9.44140625" style="210" customWidth="1"/>
    <col min="4361" max="4361" width="11" style="210" customWidth="1"/>
    <col min="4362" max="4362" width="8.33203125" style="210" customWidth="1"/>
    <col min="4363" max="4363" width="9" style="210" customWidth="1"/>
    <col min="4364" max="4364" width="4.6640625" style="210" customWidth="1"/>
    <col min="4365" max="4608" width="9.109375" style="210"/>
    <col min="4609" max="4609" width="4.88671875" style="210" customWidth="1"/>
    <col min="4610" max="4610" width="12.5546875" style="210" customWidth="1"/>
    <col min="4611" max="4611" width="10.33203125" style="210" customWidth="1"/>
    <col min="4612" max="4612" width="8.33203125" style="210" customWidth="1"/>
    <col min="4613" max="4613" width="8.6640625" style="210" customWidth="1"/>
    <col min="4614" max="4615" width="8.33203125" style="210" customWidth="1"/>
    <col min="4616" max="4616" width="9.44140625" style="210" customWidth="1"/>
    <col min="4617" max="4617" width="11" style="210" customWidth="1"/>
    <col min="4618" max="4618" width="8.33203125" style="210" customWidth="1"/>
    <col min="4619" max="4619" width="9" style="210" customWidth="1"/>
    <col min="4620" max="4620" width="4.6640625" style="210" customWidth="1"/>
    <col min="4621" max="4864" width="9.109375" style="210"/>
    <col min="4865" max="4865" width="4.88671875" style="210" customWidth="1"/>
    <col min="4866" max="4866" width="12.5546875" style="210" customWidth="1"/>
    <col min="4867" max="4867" width="10.33203125" style="210" customWidth="1"/>
    <col min="4868" max="4868" width="8.33203125" style="210" customWidth="1"/>
    <col min="4869" max="4869" width="8.6640625" style="210" customWidth="1"/>
    <col min="4870" max="4871" width="8.33203125" style="210" customWidth="1"/>
    <col min="4872" max="4872" width="9.44140625" style="210" customWidth="1"/>
    <col min="4873" max="4873" width="11" style="210" customWidth="1"/>
    <col min="4874" max="4874" width="8.33203125" style="210" customWidth="1"/>
    <col min="4875" max="4875" width="9" style="210" customWidth="1"/>
    <col min="4876" max="4876" width="4.6640625" style="210" customWidth="1"/>
    <col min="4877" max="5120" width="9.109375" style="210"/>
    <col min="5121" max="5121" width="4.88671875" style="210" customWidth="1"/>
    <col min="5122" max="5122" width="12.5546875" style="210" customWidth="1"/>
    <col min="5123" max="5123" width="10.33203125" style="210" customWidth="1"/>
    <col min="5124" max="5124" width="8.33203125" style="210" customWidth="1"/>
    <col min="5125" max="5125" width="8.6640625" style="210" customWidth="1"/>
    <col min="5126" max="5127" width="8.33203125" style="210" customWidth="1"/>
    <col min="5128" max="5128" width="9.44140625" style="210" customWidth="1"/>
    <col min="5129" max="5129" width="11" style="210" customWidth="1"/>
    <col min="5130" max="5130" width="8.33203125" style="210" customWidth="1"/>
    <col min="5131" max="5131" width="9" style="210" customWidth="1"/>
    <col min="5132" max="5132" width="4.6640625" style="210" customWidth="1"/>
    <col min="5133" max="5376" width="9.109375" style="210"/>
    <col min="5377" max="5377" width="4.88671875" style="210" customWidth="1"/>
    <col min="5378" max="5378" width="12.5546875" style="210" customWidth="1"/>
    <col min="5379" max="5379" width="10.33203125" style="210" customWidth="1"/>
    <col min="5380" max="5380" width="8.33203125" style="210" customWidth="1"/>
    <col min="5381" max="5381" width="8.6640625" style="210" customWidth="1"/>
    <col min="5382" max="5383" width="8.33203125" style="210" customWidth="1"/>
    <col min="5384" max="5384" width="9.44140625" style="210" customWidth="1"/>
    <col min="5385" max="5385" width="11" style="210" customWidth="1"/>
    <col min="5386" max="5386" width="8.33203125" style="210" customWidth="1"/>
    <col min="5387" max="5387" width="9" style="210" customWidth="1"/>
    <col min="5388" max="5388" width="4.6640625" style="210" customWidth="1"/>
    <col min="5389" max="5632" width="9.109375" style="210"/>
    <col min="5633" max="5633" width="4.88671875" style="210" customWidth="1"/>
    <col min="5634" max="5634" width="12.5546875" style="210" customWidth="1"/>
    <col min="5635" max="5635" width="10.33203125" style="210" customWidth="1"/>
    <col min="5636" max="5636" width="8.33203125" style="210" customWidth="1"/>
    <col min="5637" max="5637" width="8.6640625" style="210" customWidth="1"/>
    <col min="5638" max="5639" width="8.33203125" style="210" customWidth="1"/>
    <col min="5640" max="5640" width="9.44140625" style="210" customWidth="1"/>
    <col min="5641" max="5641" width="11" style="210" customWidth="1"/>
    <col min="5642" max="5642" width="8.33203125" style="210" customWidth="1"/>
    <col min="5643" max="5643" width="9" style="210" customWidth="1"/>
    <col min="5644" max="5644" width="4.6640625" style="210" customWidth="1"/>
    <col min="5645" max="5888" width="9.109375" style="210"/>
    <col min="5889" max="5889" width="4.88671875" style="210" customWidth="1"/>
    <col min="5890" max="5890" width="12.5546875" style="210" customWidth="1"/>
    <col min="5891" max="5891" width="10.33203125" style="210" customWidth="1"/>
    <col min="5892" max="5892" width="8.33203125" style="210" customWidth="1"/>
    <col min="5893" max="5893" width="8.6640625" style="210" customWidth="1"/>
    <col min="5894" max="5895" width="8.33203125" style="210" customWidth="1"/>
    <col min="5896" max="5896" width="9.44140625" style="210" customWidth="1"/>
    <col min="5897" max="5897" width="11" style="210" customWidth="1"/>
    <col min="5898" max="5898" width="8.33203125" style="210" customWidth="1"/>
    <col min="5899" max="5899" width="9" style="210" customWidth="1"/>
    <col min="5900" max="5900" width="4.6640625" style="210" customWidth="1"/>
    <col min="5901" max="6144" width="9.109375" style="210"/>
    <col min="6145" max="6145" width="4.88671875" style="210" customWidth="1"/>
    <col min="6146" max="6146" width="12.5546875" style="210" customWidth="1"/>
    <col min="6147" max="6147" width="10.33203125" style="210" customWidth="1"/>
    <col min="6148" max="6148" width="8.33203125" style="210" customWidth="1"/>
    <col min="6149" max="6149" width="8.6640625" style="210" customWidth="1"/>
    <col min="6150" max="6151" width="8.33203125" style="210" customWidth="1"/>
    <col min="6152" max="6152" width="9.44140625" style="210" customWidth="1"/>
    <col min="6153" max="6153" width="11" style="210" customWidth="1"/>
    <col min="6154" max="6154" width="8.33203125" style="210" customWidth="1"/>
    <col min="6155" max="6155" width="9" style="210" customWidth="1"/>
    <col min="6156" max="6156" width="4.6640625" style="210" customWidth="1"/>
    <col min="6157" max="6400" width="9.109375" style="210"/>
    <col min="6401" max="6401" width="4.88671875" style="210" customWidth="1"/>
    <col min="6402" max="6402" width="12.5546875" style="210" customWidth="1"/>
    <col min="6403" max="6403" width="10.33203125" style="210" customWidth="1"/>
    <col min="6404" max="6404" width="8.33203125" style="210" customWidth="1"/>
    <col min="6405" max="6405" width="8.6640625" style="210" customWidth="1"/>
    <col min="6406" max="6407" width="8.33203125" style="210" customWidth="1"/>
    <col min="6408" max="6408" width="9.44140625" style="210" customWidth="1"/>
    <col min="6409" max="6409" width="11" style="210" customWidth="1"/>
    <col min="6410" max="6410" width="8.33203125" style="210" customWidth="1"/>
    <col min="6411" max="6411" width="9" style="210" customWidth="1"/>
    <col min="6412" max="6412" width="4.6640625" style="210" customWidth="1"/>
    <col min="6413" max="6656" width="9.109375" style="210"/>
    <col min="6657" max="6657" width="4.88671875" style="210" customWidth="1"/>
    <col min="6658" max="6658" width="12.5546875" style="210" customWidth="1"/>
    <col min="6659" max="6659" width="10.33203125" style="210" customWidth="1"/>
    <col min="6660" max="6660" width="8.33203125" style="210" customWidth="1"/>
    <col min="6661" max="6661" width="8.6640625" style="210" customWidth="1"/>
    <col min="6662" max="6663" width="8.33203125" style="210" customWidth="1"/>
    <col min="6664" max="6664" width="9.44140625" style="210" customWidth="1"/>
    <col min="6665" max="6665" width="11" style="210" customWidth="1"/>
    <col min="6666" max="6666" width="8.33203125" style="210" customWidth="1"/>
    <col min="6667" max="6667" width="9" style="210" customWidth="1"/>
    <col min="6668" max="6668" width="4.6640625" style="210" customWidth="1"/>
    <col min="6669" max="6912" width="9.109375" style="210"/>
    <col min="6913" max="6913" width="4.88671875" style="210" customWidth="1"/>
    <col min="6914" max="6914" width="12.5546875" style="210" customWidth="1"/>
    <col min="6915" max="6915" width="10.33203125" style="210" customWidth="1"/>
    <col min="6916" max="6916" width="8.33203125" style="210" customWidth="1"/>
    <col min="6917" max="6917" width="8.6640625" style="210" customWidth="1"/>
    <col min="6918" max="6919" width="8.33203125" style="210" customWidth="1"/>
    <col min="6920" max="6920" width="9.44140625" style="210" customWidth="1"/>
    <col min="6921" max="6921" width="11" style="210" customWidth="1"/>
    <col min="6922" max="6922" width="8.33203125" style="210" customWidth="1"/>
    <col min="6923" max="6923" width="9" style="210" customWidth="1"/>
    <col min="6924" max="6924" width="4.6640625" style="210" customWidth="1"/>
    <col min="6925" max="7168" width="9.109375" style="210"/>
    <col min="7169" max="7169" width="4.88671875" style="210" customWidth="1"/>
    <col min="7170" max="7170" width="12.5546875" style="210" customWidth="1"/>
    <col min="7171" max="7171" width="10.33203125" style="210" customWidth="1"/>
    <col min="7172" max="7172" width="8.33203125" style="210" customWidth="1"/>
    <col min="7173" max="7173" width="8.6640625" style="210" customWidth="1"/>
    <col min="7174" max="7175" width="8.33203125" style="210" customWidth="1"/>
    <col min="7176" max="7176" width="9.44140625" style="210" customWidth="1"/>
    <col min="7177" max="7177" width="11" style="210" customWidth="1"/>
    <col min="7178" max="7178" width="8.33203125" style="210" customWidth="1"/>
    <col min="7179" max="7179" width="9" style="210" customWidth="1"/>
    <col min="7180" max="7180" width="4.6640625" style="210" customWidth="1"/>
    <col min="7181" max="7424" width="9.109375" style="210"/>
    <col min="7425" max="7425" width="4.88671875" style="210" customWidth="1"/>
    <col min="7426" max="7426" width="12.5546875" style="210" customWidth="1"/>
    <col min="7427" max="7427" width="10.33203125" style="210" customWidth="1"/>
    <col min="7428" max="7428" width="8.33203125" style="210" customWidth="1"/>
    <col min="7429" max="7429" width="8.6640625" style="210" customWidth="1"/>
    <col min="7430" max="7431" width="8.33203125" style="210" customWidth="1"/>
    <col min="7432" max="7432" width="9.44140625" style="210" customWidth="1"/>
    <col min="7433" max="7433" width="11" style="210" customWidth="1"/>
    <col min="7434" max="7434" width="8.33203125" style="210" customWidth="1"/>
    <col min="7435" max="7435" width="9" style="210" customWidth="1"/>
    <col min="7436" max="7436" width="4.6640625" style="210" customWidth="1"/>
    <col min="7437" max="7680" width="9.109375" style="210"/>
    <col min="7681" max="7681" width="4.88671875" style="210" customWidth="1"/>
    <col min="7682" max="7682" width="12.5546875" style="210" customWidth="1"/>
    <col min="7683" max="7683" width="10.33203125" style="210" customWidth="1"/>
    <col min="7684" max="7684" width="8.33203125" style="210" customWidth="1"/>
    <col min="7685" max="7685" width="8.6640625" style="210" customWidth="1"/>
    <col min="7686" max="7687" width="8.33203125" style="210" customWidth="1"/>
    <col min="7688" max="7688" width="9.44140625" style="210" customWidth="1"/>
    <col min="7689" max="7689" width="11" style="210" customWidth="1"/>
    <col min="7690" max="7690" width="8.33203125" style="210" customWidth="1"/>
    <col min="7691" max="7691" width="9" style="210" customWidth="1"/>
    <col min="7692" max="7692" width="4.6640625" style="210" customWidth="1"/>
    <col min="7693" max="7936" width="9.109375" style="210"/>
    <col min="7937" max="7937" width="4.88671875" style="210" customWidth="1"/>
    <col min="7938" max="7938" width="12.5546875" style="210" customWidth="1"/>
    <col min="7939" max="7939" width="10.33203125" style="210" customWidth="1"/>
    <col min="7940" max="7940" width="8.33203125" style="210" customWidth="1"/>
    <col min="7941" max="7941" width="8.6640625" style="210" customWidth="1"/>
    <col min="7942" max="7943" width="8.33203125" style="210" customWidth="1"/>
    <col min="7944" max="7944" width="9.44140625" style="210" customWidth="1"/>
    <col min="7945" max="7945" width="11" style="210" customWidth="1"/>
    <col min="7946" max="7946" width="8.33203125" style="210" customWidth="1"/>
    <col min="7947" max="7947" width="9" style="210" customWidth="1"/>
    <col min="7948" max="7948" width="4.6640625" style="210" customWidth="1"/>
    <col min="7949" max="8192" width="9.109375" style="210"/>
    <col min="8193" max="8193" width="4.88671875" style="210" customWidth="1"/>
    <col min="8194" max="8194" width="12.5546875" style="210" customWidth="1"/>
    <col min="8195" max="8195" width="10.33203125" style="210" customWidth="1"/>
    <col min="8196" max="8196" width="8.33203125" style="210" customWidth="1"/>
    <col min="8197" max="8197" width="8.6640625" style="210" customWidth="1"/>
    <col min="8198" max="8199" width="8.33203125" style="210" customWidth="1"/>
    <col min="8200" max="8200" width="9.44140625" style="210" customWidth="1"/>
    <col min="8201" max="8201" width="11" style="210" customWidth="1"/>
    <col min="8202" max="8202" width="8.33203125" style="210" customWidth="1"/>
    <col min="8203" max="8203" width="9" style="210" customWidth="1"/>
    <col min="8204" max="8204" width="4.6640625" style="210" customWidth="1"/>
    <col min="8205" max="8448" width="9.109375" style="210"/>
    <col min="8449" max="8449" width="4.88671875" style="210" customWidth="1"/>
    <col min="8450" max="8450" width="12.5546875" style="210" customWidth="1"/>
    <col min="8451" max="8451" width="10.33203125" style="210" customWidth="1"/>
    <col min="8452" max="8452" width="8.33203125" style="210" customWidth="1"/>
    <col min="8453" max="8453" width="8.6640625" style="210" customWidth="1"/>
    <col min="8454" max="8455" width="8.33203125" style="210" customWidth="1"/>
    <col min="8456" max="8456" width="9.44140625" style="210" customWidth="1"/>
    <col min="8457" max="8457" width="11" style="210" customWidth="1"/>
    <col min="8458" max="8458" width="8.33203125" style="210" customWidth="1"/>
    <col min="8459" max="8459" width="9" style="210" customWidth="1"/>
    <col min="8460" max="8460" width="4.6640625" style="210" customWidth="1"/>
    <col min="8461" max="8704" width="9.109375" style="210"/>
    <col min="8705" max="8705" width="4.88671875" style="210" customWidth="1"/>
    <col min="8706" max="8706" width="12.5546875" style="210" customWidth="1"/>
    <col min="8707" max="8707" width="10.33203125" style="210" customWidth="1"/>
    <col min="8708" max="8708" width="8.33203125" style="210" customWidth="1"/>
    <col min="8709" max="8709" width="8.6640625" style="210" customWidth="1"/>
    <col min="8710" max="8711" width="8.33203125" style="210" customWidth="1"/>
    <col min="8712" max="8712" width="9.44140625" style="210" customWidth="1"/>
    <col min="8713" max="8713" width="11" style="210" customWidth="1"/>
    <col min="8714" max="8714" width="8.33203125" style="210" customWidth="1"/>
    <col min="8715" max="8715" width="9" style="210" customWidth="1"/>
    <col min="8716" max="8716" width="4.6640625" style="210" customWidth="1"/>
    <col min="8717" max="8960" width="9.109375" style="210"/>
    <col min="8961" max="8961" width="4.88671875" style="210" customWidth="1"/>
    <col min="8962" max="8962" width="12.5546875" style="210" customWidth="1"/>
    <col min="8963" max="8963" width="10.33203125" style="210" customWidth="1"/>
    <col min="8964" max="8964" width="8.33203125" style="210" customWidth="1"/>
    <col min="8965" max="8965" width="8.6640625" style="210" customWidth="1"/>
    <col min="8966" max="8967" width="8.33203125" style="210" customWidth="1"/>
    <col min="8968" max="8968" width="9.44140625" style="210" customWidth="1"/>
    <col min="8969" max="8969" width="11" style="210" customWidth="1"/>
    <col min="8970" max="8970" width="8.33203125" style="210" customWidth="1"/>
    <col min="8971" max="8971" width="9" style="210" customWidth="1"/>
    <col min="8972" max="8972" width="4.6640625" style="210" customWidth="1"/>
    <col min="8973" max="9216" width="9.109375" style="210"/>
    <col min="9217" max="9217" width="4.88671875" style="210" customWidth="1"/>
    <col min="9218" max="9218" width="12.5546875" style="210" customWidth="1"/>
    <col min="9219" max="9219" width="10.33203125" style="210" customWidth="1"/>
    <col min="9220" max="9220" width="8.33203125" style="210" customWidth="1"/>
    <col min="9221" max="9221" width="8.6640625" style="210" customWidth="1"/>
    <col min="9222" max="9223" width="8.33203125" style="210" customWidth="1"/>
    <col min="9224" max="9224" width="9.44140625" style="210" customWidth="1"/>
    <col min="9225" max="9225" width="11" style="210" customWidth="1"/>
    <col min="9226" max="9226" width="8.33203125" style="210" customWidth="1"/>
    <col min="9227" max="9227" width="9" style="210" customWidth="1"/>
    <col min="9228" max="9228" width="4.6640625" style="210" customWidth="1"/>
    <col min="9229" max="9472" width="9.109375" style="210"/>
    <col min="9473" max="9473" width="4.88671875" style="210" customWidth="1"/>
    <col min="9474" max="9474" width="12.5546875" style="210" customWidth="1"/>
    <col min="9475" max="9475" width="10.33203125" style="210" customWidth="1"/>
    <col min="9476" max="9476" width="8.33203125" style="210" customWidth="1"/>
    <col min="9477" max="9477" width="8.6640625" style="210" customWidth="1"/>
    <col min="9478" max="9479" width="8.33203125" style="210" customWidth="1"/>
    <col min="9480" max="9480" width="9.44140625" style="210" customWidth="1"/>
    <col min="9481" max="9481" width="11" style="210" customWidth="1"/>
    <col min="9482" max="9482" width="8.33203125" style="210" customWidth="1"/>
    <col min="9483" max="9483" width="9" style="210" customWidth="1"/>
    <col min="9484" max="9484" width="4.6640625" style="210" customWidth="1"/>
    <col min="9485" max="9728" width="9.109375" style="210"/>
    <col min="9729" max="9729" width="4.88671875" style="210" customWidth="1"/>
    <col min="9730" max="9730" width="12.5546875" style="210" customWidth="1"/>
    <col min="9731" max="9731" width="10.33203125" style="210" customWidth="1"/>
    <col min="9732" max="9732" width="8.33203125" style="210" customWidth="1"/>
    <col min="9733" max="9733" width="8.6640625" style="210" customWidth="1"/>
    <col min="9734" max="9735" width="8.33203125" style="210" customWidth="1"/>
    <col min="9736" max="9736" width="9.44140625" style="210" customWidth="1"/>
    <col min="9737" max="9737" width="11" style="210" customWidth="1"/>
    <col min="9738" max="9738" width="8.33203125" style="210" customWidth="1"/>
    <col min="9739" max="9739" width="9" style="210" customWidth="1"/>
    <col min="9740" max="9740" width="4.6640625" style="210" customWidth="1"/>
    <col min="9741" max="9984" width="9.109375" style="210"/>
    <col min="9985" max="9985" width="4.88671875" style="210" customWidth="1"/>
    <col min="9986" max="9986" width="12.5546875" style="210" customWidth="1"/>
    <col min="9987" max="9987" width="10.33203125" style="210" customWidth="1"/>
    <col min="9988" max="9988" width="8.33203125" style="210" customWidth="1"/>
    <col min="9989" max="9989" width="8.6640625" style="210" customWidth="1"/>
    <col min="9990" max="9991" width="8.33203125" style="210" customWidth="1"/>
    <col min="9992" max="9992" width="9.44140625" style="210" customWidth="1"/>
    <col min="9993" max="9993" width="11" style="210" customWidth="1"/>
    <col min="9994" max="9994" width="8.33203125" style="210" customWidth="1"/>
    <col min="9995" max="9995" width="9" style="210" customWidth="1"/>
    <col min="9996" max="9996" width="4.6640625" style="210" customWidth="1"/>
    <col min="9997" max="10240" width="9.109375" style="210"/>
    <col min="10241" max="10241" width="4.88671875" style="210" customWidth="1"/>
    <col min="10242" max="10242" width="12.5546875" style="210" customWidth="1"/>
    <col min="10243" max="10243" width="10.33203125" style="210" customWidth="1"/>
    <col min="10244" max="10244" width="8.33203125" style="210" customWidth="1"/>
    <col min="10245" max="10245" width="8.6640625" style="210" customWidth="1"/>
    <col min="10246" max="10247" width="8.33203125" style="210" customWidth="1"/>
    <col min="10248" max="10248" width="9.44140625" style="210" customWidth="1"/>
    <col min="10249" max="10249" width="11" style="210" customWidth="1"/>
    <col min="10250" max="10250" width="8.33203125" style="210" customWidth="1"/>
    <col min="10251" max="10251" width="9" style="210" customWidth="1"/>
    <col min="10252" max="10252" width="4.6640625" style="210" customWidth="1"/>
    <col min="10253" max="10496" width="9.109375" style="210"/>
    <col min="10497" max="10497" width="4.88671875" style="210" customWidth="1"/>
    <col min="10498" max="10498" width="12.5546875" style="210" customWidth="1"/>
    <col min="10499" max="10499" width="10.33203125" style="210" customWidth="1"/>
    <col min="10500" max="10500" width="8.33203125" style="210" customWidth="1"/>
    <col min="10501" max="10501" width="8.6640625" style="210" customWidth="1"/>
    <col min="10502" max="10503" width="8.33203125" style="210" customWidth="1"/>
    <col min="10504" max="10504" width="9.44140625" style="210" customWidth="1"/>
    <col min="10505" max="10505" width="11" style="210" customWidth="1"/>
    <col min="10506" max="10506" width="8.33203125" style="210" customWidth="1"/>
    <col min="10507" max="10507" width="9" style="210" customWidth="1"/>
    <col min="10508" max="10508" width="4.6640625" style="210" customWidth="1"/>
    <col min="10509" max="10752" width="9.109375" style="210"/>
    <col min="10753" max="10753" width="4.88671875" style="210" customWidth="1"/>
    <col min="10754" max="10754" width="12.5546875" style="210" customWidth="1"/>
    <col min="10755" max="10755" width="10.33203125" style="210" customWidth="1"/>
    <col min="10756" max="10756" width="8.33203125" style="210" customWidth="1"/>
    <col min="10757" max="10757" width="8.6640625" style="210" customWidth="1"/>
    <col min="10758" max="10759" width="8.33203125" style="210" customWidth="1"/>
    <col min="10760" max="10760" width="9.44140625" style="210" customWidth="1"/>
    <col min="10761" max="10761" width="11" style="210" customWidth="1"/>
    <col min="10762" max="10762" width="8.33203125" style="210" customWidth="1"/>
    <col min="10763" max="10763" width="9" style="210" customWidth="1"/>
    <col min="10764" max="10764" width="4.6640625" style="210" customWidth="1"/>
    <col min="10765" max="11008" width="9.109375" style="210"/>
    <col min="11009" max="11009" width="4.88671875" style="210" customWidth="1"/>
    <col min="11010" max="11010" width="12.5546875" style="210" customWidth="1"/>
    <col min="11011" max="11011" width="10.33203125" style="210" customWidth="1"/>
    <col min="11012" max="11012" width="8.33203125" style="210" customWidth="1"/>
    <col min="11013" max="11013" width="8.6640625" style="210" customWidth="1"/>
    <col min="11014" max="11015" width="8.33203125" style="210" customWidth="1"/>
    <col min="11016" max="11016" width="9.44140625" style="210" customWidth="1"/>
    <col min="11017" max="11017" width="11" style="210" customWidth="1"/>
    <col min="11018" max="11018" width="8.33203125" style="210" customWidth="1"/>
    <col min="11019" max="11019" width="9" style="210" customWidth="1"/>
    <col min="11020" max="11020" width="4.6640625" style="210" customWidth="1"/>
    <col min="11021" max="11264" width="9.109375" style="210"/>
    <col min="11265" max="11265" width="4.88671875" style="210" customWidth="1"/>
    <col min="11266" max="11266" width="12.5546875" style="210" customWidth="1"/>
    <col min="11267" max="11267" width="10.33203125" style="210" customWidth="1"/>
    <col min="11268" max="11268" width="8.33203125" style="210" customWidth="1"/>
    <col min="11269" max="11269" width="8.6640625" style="210" customWidth="1"/>
    <col min="11270" max="11271" width="8.33203125" style="210" customWidth="1"/>
    <col min="11272" max="11272" width="9.44140625" style="210" customWidth="1"/>
    <col min="11273" max="11273" width="11" style="210" customWidth="1"/>
    <col min="11274" max="11274" width="8.33203125" style="210" customWidth="1"/>
    <col min="11275" max="11275" width="9" style="210" customWidth="1"/>
    <col min="11276" max="11276" width="4.6640625" style="210" customWidth="1"/>
    <col min="11277" max="11520" width="9.109375" style="210"/>
    <col min="11521" max="11521" width="4.88671875" style="210" customWidth="1"/>
    <col min="11522" max="11522" width="12.5546875" style="210" customWidth="1"/>
    <col min="11523" max="11523" width="10.33203125" style="210" customWidth="1"/>
    <col min="11524" max="11524" width="8.33203125" style="210" customWidth="1"/>
    <col min="11525" max="11525" width="8.6640625" style="210" customWidth="1"/>
    <col min="11526" max="11527" width="8.33203125" style="210" customWidth="1"/>
    <col min="11528" max="11528" width="9.44140625" style="210" customWidth="1"/>
    <col min="11529" max="11529" width="11" style="210" customWidth="1"/>
    <col min="11530" max="11530" width="8.33203125" style="210" customWidth="1"/>
    <col min="11531" max="11531" width="9" style="210" customWidth="1"/>
    <col min="11532" max="11532" width="4.6640625" style="210" customWidth="1"/>
    <col min="11533" max="11776" width="9.109375" style="210"/>
    <col min="11777" max="11777" width="4.88671875" style="210" customWidth="1"/>
    <col min="11778" max="11778" width="12.5546875" style="210" customWidth="1"/>
    <col min="11779" max="11779" width="10.33203125" style="210" customWidth="1"/>
    <col min="11780" max="11780" width="8.33203125" style="210" customWidth="1"/>
    <col min="11781" max="11781" width="8.6640625" style="210" customWidth="1"/>
    <col min="11782" max="11783" width="8.33203125" style="210" customWidth="1"/>
    <col min="11784" max="11784" width="9.44140625" style="210" customWidth="1"/>
    <col min="11785" max="11785" width="11" style="210" customWidth="1"/>
    <col min="11786" max="11786" width="8.33203125" style="210" customWidth="1"/>
    <col min="11787" max="11787" width="9" style="210" customWidth="1"/>
    <col min="11788" max="11788" width="4.6640625" style="210" customWidth="1"/>
    <col min="11789" max="12032" width="9.109375" style="210"/>
    <col min="12033" max="12033" width="4.88671875" style="210" customWidth="1"/>
    <col min="12034" max="12034" width="12.5546875" style="210" customWidth="1"/>
    <col min="12035" max="12035" width="10.33203125" style="210" customWidth="1"/>
    <col min="12036" max="12036" width="8.33203125" style="210" customWidth="1"/>
    <col min="12037" max="12037" width="8.6640625" style="210" customWidth="1"/>
    <col min="12038" max="12039" width="8.33203125" style="210" customWidth="1"/>
    <col min="12040" max="12040" width="9.44140625" style="210" customWidth="1"/>
    <col min="12041" max="12041" width="11" style="210" customWidth="1"/>
    <col min="12042" max="12042" width="8.33203125" style="210" customWidth="1"/>
    <col min="12043" max="12043" width="9" style="210" customWidth="1"/>
    <col min="12044" max="12044" width="4.6640625" style="210" customWidth="1"/>
    <col min="12045" max="12288" width="9.109375" style="210"/>
    <col min="12289" max="12289" width="4.88671875" style="210" customWidth="1"/>
    <col min="12290" max="12290" width="12.5546875" style="210" customWidth="1"/>
    <col min="12291" max="12291" width="10.33203125" style="210" customWidth="1"/>
    <col min="12292" max="12292" width="8.33203125" style="210" customWidth="1"/>
    <col min="12293" max="12293" width="8.6640625" style="210" customWidth="1"/>
    <col min="12294" max="12295" width="8.33203125" style="210" customWidth="1"/>
    <col min="12296" max="12296" width="9.44140625" style="210" customWidth="1"/>
    <col min="12297" max="12297" width="11" style="210" customWidth="1"/>
    <col min="12298" max="12298" width="8.33203125" style="210" customWidth="1"/>
    <col min="12299" max="12299" width="9" style="210" customWidth="1"/>
    <col min="12300" max="12300" width="4.6640625" style="210" customWidth="1"/>
    <col min="12301" max="12544" width="9.109375" style="210"/>
    <col min="12545" max="12545" width="4.88671875" style="210" customWidth="1"/>
    <col min="12546" max="12546" width="12.5546875" style="210" customWidth="1"/>
    <col min="12547" max="12547" width="10.33203125" style="210" customWidth="1"/>
    <col min="12548" max="12548" width="8.33203125" style="210" customWidth="1"/>
    <col min="12549" max="12549" width="8.6640625" style="210" customWidth="1"/>
    <col min="12550" max="12551" width="8.33203125" style="210" customWidth="1"/>
    <col min="12552" max="12552" width="9.44140625" style="210" customWidth="1"/>
    <col min="12553" max="12553" width="11" style="210" customWidth="1"/>
    <col min="12554" max="12554" width="8.33203125" style="210" customWidth="1"/>
    <col min="12555" max="12555" width="9" style="210" customWidth="1"/>
    <col min="12556" max="12556" width="4.6640625" style="210" customWidth="1"/>
    <col min="12557" max="12800" width="9.109375" style="210"/>
    <col min="12801" max="12801" width="4.88671875" style="210" customWidth="1"/>
    <col min="12802" max="12802" width="12.5546875" style="210" customWidth="1"/>
    <col min="12803" max="12803" width="10.33203125" style="210" customWidth="1"/>
    <col min="12804" max="12804" width="8.33203125" style="210" customWidth="1"/>
    <col min="12805" max="12805" width="8.6640625" style="210" customWidth="1"/>
    <col min="12806" max="12807" width="8.33203125" style="210" customWidth="1"/>
    <col min="12808" max="12808" width="9.44140625" style="210" customWidth="1"/>
    <col min="12809" max="12809" width="11" style="210" customWidth="1"/>
    <col min="12810" max="12810" width="8.33203125" style="210" customWidth="1"/>
    <col min="12811" max="12811" width="9" style="210" customWidth="1"/>
    <col min="12812" max="12812" width="4.6640625" style="210" customWidth="1"/>
    <col min="12813" max="13056" width="9.109375" style="210"/>
    <col min="13057" max="13057" width="4.88671875" style="210" customWidth="1"/>
    <col min="13058" max="13058" width="12.5546875" style="210" customWidth="1"/>
    <col min="13059" max="13059" width="10.33203125" style="210" customWidth="1"/>
    <col min="13060" max="13060" width="8.33203125" style="210" customWidth="1"/>
    <col min="13061" max="13061" width="8.6640625" style="210" customWidth="1"/>
    <col min="13062" max="13063" width="8.33203125" style="210" customWidth="1"/>
    <col min="13064" max="13064" width="9.44140625" style="210" customWidth="1"/>
    <col min="13065" max="13065" width="11" style="210" customWidth="1"/>
    <col min="13066" max="13066" width="8.33203125" style="210" customWidth="1"/>
    <col min="13067" max="13067" width="9" style="210" customWidth="1"/>
    <col min="13068" max="13068" width="4.6640625" style="210" customWidth="1"/>
    <col min="13069" max="13312" width="9.109375" style="210"/>
    <col min="13313" max="13313" width="4.88671875" style="210" customWidth="1"/>
    <col min="13314" max="13314" width="12.5546875" style="210" customWidth="1"/>
    <col min="13315" max="13315" width="10.33203125" style="210" customWidth="1"/>
    <col min="13316" max="13316" width="8.33203125" style="210" customWidth="1"/>
    <col min="13317" max="13317" width="8.6640625" style="210" customWidth="1"/>
    <col min="13318" max="13319" width="8.33203125" style="210" customWidth="1"/>
    <col min="13320" max="13320" width="9.44140625" style="210" customWidth="1"/>
    <col min="13321" max="13321" width="11" style="210" customWidth="1"/>
    <col min="13322" max="13322" width="8.33203125" style="210" customWidth="1"/>
    <col min="13323" max="13323" width="9" style="210" customWidth="1"/>
    <col min="13324" max="13324" width="4.6640625" style="210" customWidth="1"/>
    <col min="13325" max="13568" width="9.109375" style="210"/>
    <col min="13569" max="13569" width="4.88671875" style="210" customWidth="1"/>
    <col min="13570" max="13570" width="12.5546875" style="210" customWidth="1"/>
    <col min="13571" max="13571" width="10.33203125" style="210" customWidth="1"/>
    <col min="13572" max="13572" width="8.33203125" style="210" customWidth="1"/>
    <col min="13573" max="13573" width="8.6640625" style="210" customWidth="1"/>
    <col min="13574" max="13575" width="8.33203125" style="210" customWidth="1"/>
    <col min="13576" max="13576" width="9.44140625" style="210" customWidth="1"/>
    <col min="13577" max="13577" width="11" style="210" customWidth="1"/>
    <col min="13578" max="13578" width="8.33203125" style="210" customWidth="1"/>
    <col min="13579" max="13579" width="9" style="210" customWidth="1"/>
    <col min="13580" max="13580" width="4.6640625" style="210" customWidth="1"/>
    <col min="13581" max="13824" width="9.109375" style="210"/>
    <col min="13825" max="13825" width="4.88671875" style="210" customWidth="1"/>
    <col min="13826" max="13826" width="12.5546875" style="210" customWidth="1"/>
    <col min="13827" max="13827" width="10.33203125" style="210" customWidth="1"/>
    <col min="13828" max="13828" width="8.33203125" style="210" customWidth="1"/>
    <col min="13829" max="13829" width="8.6640625" style="210" customWidth="1"/>
    <col min="13830" max="13831" width="8.33203125" style="210" customWidth="1"/>
    <col min="13832" max="13832" width="9.44140625" style="210" customWidth="1"/>
    <col min="13833" max="13833" width="11" style="210" customWidth="1"/>
    <col min="13834" max="13834" width="8.33203125" style="210" customWidth="1"/>
    <col min="13835" max="13835" width="9" style="210" customWidth="1"/>
    <col min="13836" max="13836" width="4.6640625" style="210" customWidth="1"/>
    <col min="13837" max="14080" width="9.109375" style="210"/>
    <col min="14081" max="14081" width="4.88671875" style="210" customWidth="1"/>
    <col min="14082" max="14082" width="12.5546875" style="210" customWidth="1"/>
    <col min="14083" max="14083" width="10.33203125" style="210" customWidth="1"/>
    <col min="14084" max="14084" width="8.33203125" style="210" customWidth="1"/>
    <col min="14085" max="14085" width="8.6640625" style="210" customWidth="1"/>
    <col min="14086" max="14087" width="8.33203125" style="210" customWidth="1"/>
    <col min="14088" max="14088" width="9.44140625" style="210" customWidth="1"/>
    <col min="14089" max="14089" width="11" style="210" customWidth="1"/>
    <col min="14090" max="14090" width="8.33203125" style="210" customWidth="1"/>
    <col min="14091" max="14091" width="9" style="210" customWidth="1"/>
    <col min="14092" max="14092" width="4.6640625" style="210" customWidth="1"/>
    <col min="14093" max="14336" width="9.109375" style="210"/>
    <col min="14337" max="14337" width="4.88671875" style="210" customWidth="1"/>
    <col min="14338" max="14338" width="12.5546875" style="210" customWidth="1"/>
    <col min="14339" max="14339" width="10.33203125" style="210" customWidth="1"/>
    <col min="14340" max="14340" width="8.33203125" style="210" customWidth="1"/>
    <col min="14341" max="14341" width="8.6640625" style="210" customWidth="1"/>
    <col min="14342" max="14343" width="8.33203125" style="210" customWidth="1"/>
    <col min="14344" max="14344" width="9.44140625" style="210" customWidth="1"/>
    <col min="14345" max="14345" width="11" style="210" customWidth="1"/>
    <col min="14346" max="14346" width="8.33203125" style="210" customWidth="1"/>
    <col min="14347" max="14347" width="9" style="210" customWidth="1"/>
    <col min="14348" max="14348" width="4.6640625" style="210" customWidth="1"/>
    <col min="14349" max="14592" width="9.109375" style="210"/>
    <col min="14593" max="14593" width="4.88671875" style="210" customWidth="1"/>
    <col min="14594" max="14594" width="12.5546875" style="210" customWidth="1"/>
    <col min="14595" max="14595" width="10.33203125" style="210" customWidth="1"/>
    <col min="14596" max="14596" width="8.33203125" style="210" customWidth="1"/>
    <col min="14597" max="14597" width="8.6640625" style="210" customWidth="1"/>
    <col min="14598" max="14599" width="8.33203125" style="210" customWidth="1"/>
    <col min="14600" max="14600" width="9.44140625" style="210" customWidth="1"/>
    <col min="14601" max="14601" width="11" style="210" customWidth="1"/>
    <col min="14602" max="14602" width="8.33203125" style="210" customWidth="1"/>
    <col min="14603" max="14603" width="9" style="210" customWidth="1"/>
    <col min="14604" max="14604" width="4.6640625" style="210" customWidth="1"/>
    <col min="14605" max="14848" width="9.109375" style="210"/>
    <col min="14849" max="14849" width="4.88671875" style="210" customWidth="1"/>
    <col min="14850" max="14850" width="12.5546875" style="210" customWidth="1"/>
    <col min="14851" max="14851" width="10.33203125" style="210" customWidth="1"/>
    <col min="14852" max="14852" width="8.33203125" style="210" customWidth="1"/>
    <col min="14853" max="14853" width="8.6640625" style="210" customWidth="1"/>
    <col min="14854" max="14855" width="8.33203125" style="210" customWidth="1"/>
    <col min="14856" max="14856" width="9.44140625" style="210" customWidth="1"/>
    <col min="14857" max="14857" width="11" style="210" customWidth="1"/>
    <col min="14858" max="14858" width="8.33203125" style="210" customWidth="1"/>
    <col min="14859" max="14859" width="9" style="210" customWidth="1"/>
    <col min="14860" max="14860" width="4.6640625" style="210" customWidth="1"/>
    <col min="14861" max="15104" width="9.109375" style="210"/>
    <col min="15105" max="15105" width="4.88671875" style="210" customWidth="1"/>
    <col min="15106" max="15106" width="12.5546875" style="210" customWidth="1"/>
    <col min="15107" max="15107" width="10.33203125" style="210" customWidth="1"/>
    <col min="15108" max="15108" width="8.33203125" style="210" customWidth="1"/>
    <col min="15109" max="15109" width="8.6640625" style="210" customWidth="1"/>
    <col min="15110" max="15111" width="8.33203125" style="210" customWidth="1"/>
    <col min="15112" max="15112" width="9.44140625" style="210" customWidth="1"/>
    <col min="15113" max="15113" width="11" style="210" customWidth="1"/>
    <col min="15114" max="15114" width="8.33203125" style="210" customWidth="1"/>
    <col min="15115" max="15115" width="9" style="210" customWidth="1"/>
    <col min="15116" max="15116" width="4.6640625" style="210" customWidth="1"/>
    <col min="15117" max="15360" width="9.109375" style="210"/>
    <col min="15361" max="15361" width="4.88671875" style="210" customWidth="1"/>
    <col min="15362" max="15362" width="12.5546875" style="210" customWidth="1"/>
    <col min="15363" max="15363" width="10.33203125" style="210" customWidth="1"/>
    <col min="15364" max="15364" width="8.33203125" style="210" customWidth="1"/>
    <col min="15365" max="15365" width="8.6640625" style="210" customWidth="1"/>
    <col min="15366" max="15367" width="8.33203125" style="210" customWidth="1"/>
    <col min="15368" max="15368" width="9.44140625" style="210" customWidth="1"/>
    <col min="15369" max="15369" width="11" style="210" customWidth="1"/>
    <col min="15370" max="15370" width="8.33203125" style="210" customWidth="1"/>
    <col min="15371" max="15371" width="9" style="210" customWidth="1"/>
    <col min="15372" max="15372" width="4.6640625" style="210" customWidth="1"/>
    <col min="15373" max="15616" width="9.109375" style="210"/>
    <col min="15617" max="15617" width="4.88671875" style="210" customWidth="1"/>
    <col min="15618" max="15618" width="12.5546875" style="210" customWidth="1"/>
    <col min="15619" max="15619" width="10.33203125" style="210" customWidth="1"/>
    <col min="15620" max="15620" width="8.33203125" style="210" customWidth="1"/>
    <col min="15621" max="15621" width="8.6640625" style="210" customWidth="1"/>
    <col min="15622" max="15623" width="8.33203125" style="210" customWidth="1"/>
    <col min="15624" max="15624" width="9.44140625" style="210" customWidth="1"/>
    <col min="15625" max="15625" width="11" style="210" customWidth="1"/>
    <col min="15626" max="15626" width="8.33203125" style="210" customWidth="1"/>
    <col min="15627" max="15627" width="9" style="210" customWidth="1"/>
    <col min="15628" max="15628" width="4.6640625" style="210" customWidth="1"/>
    <col min="15629" max="15872" width="9.109375" style="210"/>
    <col min="15873" max="15873" width="4.88671875" style="210" customWidth="1"/>
    <col min="15874" max="15874" width="12.5546875" style="210" customWidth="1"/>
    <col min="15875" max="15875" width="10.33203125" style="210" customWidth="1"/>
    <col min="15876" max="15876" width="8.33203125" style="210" customWidth="1"/>
    <col min="15877" max="15877" width="8.6640625" style="210" customWidth="1"/>
    <col min="15878" max="15879" width="8.33203125" style="210" customWidth="1"/>
    <col min="15880" max="15880" width="9.44140625" style="210" customWidth="1"/>
    <col min="15881" max="15881" width="11" style="210" customWidth="1"/>
    <col min="15882" max="15882" width="8.33203125" style="210" customWidth="1"/>
    <col min="15883" max="15883" width="9" style="210" customWidth="1"/>
    <col min="15884" max="15884" width="4.6640625" style="210" customWidth="1"/>
    <col min="15885" max="16128" width="9.109375" style="210"/>
    <col min="16129" max="16129" width="4.88671875" style="210" customWidth="1"/>
    <col min="16130" max="16130" width="12.5546875" style="210" customWidth="1"/>
    <col min="16131" max="16131" width="10.33203125" style="210" customWidth="1"/>
    <col min="16132" max="16132" width="8.33203125" style="210" customWidth="1"/>
    <col min="16133" max="16133" width="8.6640625" style="210" customWidth="1"/>
    <col min="16134" max="16135" width="8.33203125" style="210" customWidth="1"/>
    <col min="16136" max="16136" width="9.44140625" style="210" customWidth="1"/>
    <col min="16137" max="16137" width="11" style="210" customWidth="1"/>
    <col min="16138" max="16138" width="8.33203125" style="210" customWidth="1"/>
    <col min="16139" max="16139" width="9" style="210" customWidth="1"/>
    <col min="16140" max="16140" width="4.6640625" style="210" customWidth="1"/>
    <col min="16141" max="16384" width="9.109375" style="210"/>
  </cols>
  <sheetData>
    <row r="1" spans="1:12" x14ac:dyDescent="0.25">
      <c r="A1" s="207"/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9"/>
    </row>
    <row r="2" spans="1:12" x14ac:dyDescent="0.25">
      <c r="A2" s="211"/>
      <c r="L2" s="212"/>
    </row>
    <row r="3" spans="1:12" x14ac:dyDescent="0.25">
      <c r="A3" s="211"/>
      <c r="L3" s="212"/>
    </row>
    <row r="4" spans="1:12" x14ac:dyDescent="0.25">
      <c r="A4" s="211"/>
      <c r="L4" s="212"/>
    </row>
    <row r="5" spans="1:12" x14ac:dyDescent="0.25">
      <c r="A5" s="211"/>
      <c r="L5" s="212"/>
    </row>
    <row r="6" spans="1:12" x14ac:dyDescent="0.25">
      <c r="A6" s="211"/>
      <c r="L6" s="212"/>
    </row>
    <row r="7" spans="1:12" x14ac:dyDescent="0.25">
      <c r="A7" s="211"/>
      <c r="L7" s="212"/>
    </row>
    <row r="8" spans="1:12" x14ac:dyDescent="0.25">
      <c r="A8" s="211"/>
      <c r="L8" s="212"/>
    </row>
    <row r="9" spans="1:12" x14ac:dyDescent="0.25">
      <c r="A9" s="211"/>
      <c r="L9" s="212"/>
    </row>
    <row r="10" spans="1:12" x14ac:dyDescent="0.25">
      <c r="A10" s="211"/>
      <c r="L10" s="212"/>
    </row>
    <row r="11" spans="1:12" x14ac:dyDescent="0.25">
      <c r="A11" s="211"/>
      <c r="L11" s="212"/>
    </row>
    <row r="12" spans="1:12" x14ac:dyDescent="0.25">
      <c r="A12" s="211"/>
      <c r="L12" s="212"/>
    </row>
    <row r="13" spans="1:12" x14ac:dyDescent="0.25">
      <c r="A13" s="211"/>
      <c r="L13" s="212"/>
    </row>
    <row r="14" spans="1:12" x14ac:dyDescent="0.25">
      <c r="A14" s="211"/>
      <c r="L14" s="212"/>
    </row>
    <row r="15" spans="1:12" x14ac:dyDescent="0.25">
      <c r="A15" s="211"/>
      <c r="L15" s="212"/>
    </row>
    <row r="16" spans="1:12" x14ac:dyDescent="0.25">
      <c r="A16" s="211"/>
      <c r="L16" s="212"/>
    </row>
    <row r="17" spans="1:12" x14ac:dyDescent="0.25">
      <c r="A17" s="211"/>
      <c r="L17" s="212"/>
    </row>
    <row r="18" spans="1:12" x14ac:dyDescent="0.25">
      <c r="A18" s="211"/>
      <c r="L18" s="212"/>
    </row>
    <row r="19" spans="1:12" x14ac:dyDescent="0.25">
      <c r="A19" s="211"/>
      <c r="L19" s="212"/>
    </row>
    <row r="20" spans="1:12" x14ac:dyDescent="0.25">
      <c r="A20" s="211"/>
      <c r="L20" s="212"/>
    </row>
    <row r="21" spans="1:12" x14ac:dyDescent="0.25">
      <c r="A21" s="211"/>
      <c r="L21" s="212"/>
    </row>
    <row r="22" spans="1:12" ht="26.4" x14ac:dyDescent="0.25">
      <c r="A22" s="211"/>
      <c r="B22" s="213" t="s">
        <v>182</v>
      </c>
      <c r="C22" s="214">
        <v>16</v>
      </c>
      <c r="D22" s="214">
        <v>17</v>
      </c>
      <c r="E22" s="214">
        <v>7</v>
      </c>
      <c r="F22" s="214">
        <v>48</v>
      </c>
      <c r="G22" s="214">
        <v>6</v>
      </c>
      <c r="H22" s="214">
        <v>6</v>
      </c>
      <c r="I22" s="215" t="s">
        <v>380</v>
      </c>
      <c r="J22" s="216">
        <f>SUM(C22:H22)</f>
        <v>100</v>
      </c>
      <c r="K22" s="217"/>
      <c r="L22" s="212"/>
    </row>
    <row r="23" spans="1:12" s="222" customFormat="1" ht="26.4" x14ac:dyDescent="0.3">
      <c r="A23" s="218"/>
      <c r="B23" s="219" t="s">
        <v>381</v>
      </c>
      <c r="C23" s="220" t="s">
        <v>263</v>
      </c>
      <c r="D23" s="220" t="s">
        <v>265</v>
      </c>
      <c r="E23" s="220" t="s">
        <v>266</v>
      </c>
      <c r="F23" s="220" t="s">
        <v>382</v>
      </c>
      <c r="G23" s="219">
        <v>-8</v>
      </c>
      <c r="H23" s="219" t="s">
        <v>383</v>
      </c>
      <c r="I23" s="219" t="s">
        <v>384</v>
      </c>
      <c r="J23" s="219" t="s">
        <v>385</v>
      </c>
      <c r="K23" s="219" t="s">
        <v>386</v>
      </c>
      <c r="L23" s="221"/>
    </row>
    <row r="24" spans="1:12" x14ac:dyDescent="0.25">
      <c r="A24" s="211"/>
      <c r="B24" s="223">
        <v>25.4</v>
      </c>
      <c r="C24" s="224">
        <v>100</v>
      </c>
      <c r="D24" s="224">
        <v>100</v>
      </c>
      <c r="E24" s="223">
        <v>100</v>
      </c>
      <c r="F24" s="225">
        <v>100</v>
      </c>
      <c r="G24" s="225">
        <v>100</v>
      </c>
      <c r="H24" s="225">
        <v>100</v>
      </c>
      <c r="I24" s="224">
        <f>$C$22/100*C24+$D$22/100*D24+$E$22/100*E24+F$22/100*F24+$G$22/100*G24+$H$22/100*H24</f>
        <v>100</v>
      </c>
      <c r="J24" s="225">
        <v>100</v>
      </c>
      <c r="K24" s="225">
        <v>100</v>
      </c>
      <c r="L24" s="212"/>
    </row>
    <row r="25" spans="1:12" x14ac:dyDescent="0.25">
      <c r="A25" s="211"/>
      <c r="B25" s="223">
        <v>19</v>
      </c>
      <c r="C25" s="224">
        <v>84.2</v>
      </c>
      <c r="D25" s="224">
        <v>100</v>
      </c>
      <c r="E25" s="223">
        <v>100</v>
      </c>
      <c r="F25" s="225">
        <v>100</v>
      </c>
      <c r="G25" s="225">
        <v>100</v>
      </c>
      <c r="H25" s="225">
        <v>100</v>
      </c>
      <c r="I25" s="224">
        <f t="shared" ref="I25:I34" si="0">$C$22/100*C25+$D$22/100*D25+$E$22/100*E25+F$22/100*F25+$G$22/100*G25+$H$22/100*H25</f>
        <v>97.472000000000008</v>
      </c>
      <c r="J25" s="225" t="s">
        <v>387</v>
      </c>
      <c r="K25" s="225" t="s">
        <v>388</v>
      </c>
      <c r="L25" s="212"/>
    </row>
    <row r="26" spans="1:12" x14ac:dyDescent="0.25">
      <c r="A26" s="211"/>
      <c r="B26" s="223">
        <v>12.5</v>
      </c>
      <c r="C26" s="224">
        <v>10.6</v>
      </c>
      <c r="D26" s="224">
        <v>69.3</v>
      </c>
      <c r="E26" s="223">
        <v>100</v>
      </c>
      <c r="F26" s="225">
        <v>100</v>
      </c>
      <c r="G26" s="225">
        <v>100</v>
      </c>
      <c r="H26" s="225">
        <v>100</v>
      </c>
      <c r="I26" s="224">
        <f t="shared" si="0"/>
        <v>80.477000000000004</v>
      </c>
      <c r="J26" s="225" t="s">
        <v>389</v>
      </c>
      <c r="K26" s="225" t="s">
        <v>390</v>
      </c>
      <c r="L26" s="212"/>
    </row>
    <row r="27" spans="1:12" x14ac:dyDescent="0.25">
      <c r="A27" s="211"/>
      <c r="B27" s="223">
        <v>9.5</v>
      </c>
      <c r="C27" s="224">
        <v>5.2</v>
      </c>
      <c r="D27" s="224">
        <v>21</v>
      </c>
      <c r="E27" s="223">
        <v>90.8</v>
      </c>
      <c r="F27" s="225">
        <v>100</v>
      </c>
      <c r="G27" s="225">
        <v>100</v>
      </c>
      <c r="H27" s="225">
        <v>100</v>
      </c>
      <c r="I27" s="224">
        <f t="shared" si="0"/>
        <v>70.75800000000001</v>
      </c>
      <c r="J27" s="225" t="s">
        <v>391</v>
      </c>
      <c r="K27" s="225" t="s">
        <v>392</v>
      </c>
      <c r="L27" s="212"/>
    </row>
    <row r="28" spans="1:12" x14ac:dyDescent="0.25">
      <c r="A28" s="211"/>
      <c r="B28" s="225">
        <v>4.75</v>
      </c>
      <c r="C28" s="223">
        <v>2.2999999999999998</v>
      </c>
      <c r="D28" s="223">
        <v>2.7</v>
      </c>
      <c r="E28" s="223">
        <v>2.2999999999999998</v>
      </c>
      <c r="F28" s="224">
        <v>74.099999999999994</v>
      </c>
      <c r="G28" s="225">
        <v>88.8</v>
      </c>
      <c r="H28" s="225">
        <v>89.4</v>
      </c>
      <c r="I28" s="224">
        <f t="shared" si="0"/>
        <v>47.247999999999998</v>
      </c>
      <c r="J28" s="225" t="s">
        <v>393</v>
      </c>
      <c r="K28" s="225" t="s">
        <v>394</v>
      </c>
      <c r="L28" s="212"/>
    </row>
    <row r="29" spans="1:12" x14ac:dyDescent="0.25">
      <c r="A29" s="211"/>
      <c r="B29" s="225">
        <v>2.36</v>
      </c>
      <c r="C29" s="223">
        <v>1.3</v>
      </c>
      <c r="D29" s="223">
        <v>2.1</v>
      </c>
      <c r="E29" s="223">
        <v>1.8</v>
      </c>
      <c r="F29" s="225">
        <v>46.1</v>
      </c>
      <c r="G29" s="225">
        <v>59.8</v>
      </c>
      <c r="H29" s="225">
        <v>57.7</v>
      </c>
      <c r="I29" s="224">
        <f t="shared" si="0"/>
        <v>29.869</v>
      </c>
      <c r="J29" s="225" t="s">
        <v>395</v>
      </c>
      <c r="K29" s="225" t="s">
        <v>396</v>
      </c>
      <c r="L29" s="212"/>
    </row>
    <row r="30" spans="1:12" x14ac:dyDescent="0.25">
      <c r="A30" s="211"/>
      <c r="B30" s="225">
        <v>1.18</v>
      </c>
      <c r="C30" s="223">
        <v>1.1000000000000001</v>
      </c>
      <c r="D30" s="223">
        <v>1.9</v>
      </c>
      <c r="E30" s="223">
        <v>1.7</v>
      </c>
      <c r="F30" s="225">
        <v>29.7</v>
      </c>
      <c r="G30" s="225">
        <v>37.9</v>
      </c>
      <c r="H30" s="225">
        <v>44.3</v>
      </c>
      <c r="I30" s="224">
        <f t="shared" si="0"/>
        <v>19.806000000000001</v>
      </c>
      <c r="J30" s="225" t="s">
        <v>397</v>
      </c>
      <c r="K30" s="226" t="s">
        <v>398</v>
      </c>
      <c r="L30" s="212"/>
    </row>
    <row r="31" spans="1:12" x14ac:dyDescent="0.25">
      <c r="A31" s="211"/>
      <c r="B31" s="227">
        <v>0.6</v>
      </c>
      <c r="C31" s="223">
        <v>0.9</v>
      </c>
      <c r="D31" s="223">
        <v>1.8</v>
      </c>
      <c r="E31" s="223">
        <v>1.6</v>
      </c>
      <c r="F31" s="225">
        <v>19</v>
      </c>
      <c r="G31" s="225">
        <v>24.3</v>
      </c>
      <c r="H31" s="225">
        <v>36.9</v>
      </c>
      <c r="I31" s="224">
        <f t="shared" si="0"/>
        <v>13.353999999999999</v>
      </c>
      <c r="J31" s="228" t="s">
        <v>399</v>
      </c>
      <c r="K31" s="228" t="s">
        <v>400</v>
      </c>
      <c r="L31" s="212"/>
    </row>
    <row r="32" spans="1:12" x14ac:dyDescent="0.25">
      <c r="A32" s="211"/>
      <c r="B32" s="227">
        <v>0.3</v>
      </c>
      <c r="C32" s="223">
        <v>0.7</v>
      </c>
      <c r="D32" s="223">
        <v>1.7</v>
      </c>
      <c r="E32" s="223">
        <v>1.5</v>
      </c>
      <c r="F32" s="225">
        <v>13.2</v>
      </c>
      <c r="G32" s="225">
        <v>15.7</v>
      </c>
      <c r="H32" s="225">
        <v>31.5</v>
      </c>
      <c r="I32" s="224">
        <f t="shared" si="0"/>
        <v>9.6739999999999995</v>
      </c>
      <c r="J32" s="228" t="s">
        <v>401</v>
      </c>
      <c r="K32" s="228" t="s">
        <v>402</v>
      </c>
      <c r="L32" s="212"/>
    </row>
    <row r="33" spans="1:12" x14ac:dyDescent="0.25">
      <c r="A33" s="211"/>
      <c r="B33" s="227">
        <v>0.15</v>
      </c>
      <c r="C33" s="223">
        <v>0.4</v>
      </c>
      <c r="D33" s="223">
        <v>1.4</v>
      </c>
      <c r="E33" s="223">
        <v>1.2</v>
      </c>
      <c r="F33" s="225">
        <v>9.1999999999999993</v>
      </c>
      <c r="G33" s="225">
        <v>10.7</v>
      </c>
      <c r="H33" s="225">
        <v>14.3</v>
      </c>
      <c r="I33" s="223">
        <f t="shared" si="0"/>
        <v>6.3019999999999987</v>
      </c>
      <c r="J33" s="228" t="s">
        <v>403</v>
      </c>
      <c r="K33" s="228" t="s">
        <v>404</v>
      </c>
      <c r="L33" s="212"/>
    </row>
    <row r="34" spans="1:12" x14ac:dyDescent="0.25">
      <c r="A34" s="211"/>
      <c r="B34" s="227">
        <v>7.4999999999999997E-2</v>
      </c>
      <c r="C34" s="223">
        <v>0.1</v>
      </c>
      <c r="D34" s="223">
        <v>1</v>
      </c>
      <c r="E34" s="223">
        <v>0.9</v>
      </c>
      <c r="F34" s="225">
        <v>6.8</v>
      </c>
      <c r="G34" s="225">
        <v>7.8</v>
      </c>
      <c r="H34" s="223">
        <v>3.9</v>
      </c>
      <c r="I34" s="223">
        <f t="shared" si="0"/>
        <v>4.2149999999999999</v>
      </c>
      <c r="J34" s="228" t="s">
        <v>405</v>
      </c>
      <c r="K34" s="225" t="s">
        <v>406</v>
      </c>
      <c r="L34" s="212"/>
    </row>
    <row r="35" spans="1:12" x14ac:dyDescent="0.25">
      <c r="A35" s="211"/>
      <c r="L35" s="212"/>
    </row>
    <row r="36" spans="1:12" ht="15.6" x14ac:dyDescent="0.3">
      <c r="A36" s="229" t="s">
        <v>407</v>
      </c>
      <c r="B36" s="230"/>
      <c r="C36" s="230"/>
      <c r="D36" s="230"/>
      <c r="E36" s="230"/>
      <c r="F36" s="230"/>
      <c r="G36" s="230"/>
      <c r="H36" s="230"/>
      <c r="I36" s="230"/>
      <c r="J36" s="230"/>
      <c r="K36" s="230"/>
      <c r="L36" s="231"/>
    </row>
    <row r="37" spans="1:12" x14ac:dyDescent="0.25">
      <c r="A37" s="211"/>
      <c r="B37" s="232" t="s">
        <v>408</v>
      </c>
      <c r="C37" s="233"/>
      <c r="D37" s="225" t="s">
        <v>409</v>
      </c>
      <c r="E37" s="225" t="s">
        <v>410</v>
      </c>
      <c r="H37" s="232" t="s">
        <v>411</v>
      </c>
      <c r="I37" s="233"/>
      <c r="J37" s="225" t="s">
        <v>409</v>
      </c>
      <c r="K37" s="225" t="s">
        <v>410</v>
      </c>
      <c r="L37" s="212"/>
    </row>
    <row r="38" spans="1:12" x14ac:dyDescent="0.25">
      <c r="A38" s="211"/>
      <c r="B38" s="234" t="s">
        <v>412</v>
      </c>
      <c r="C38" s="234"/>
      <c r="D38" s="235"/>
      <c r="E38" s="236"/>
      <c r="H38" s="207" t="s">
        <v>413</v>
      </c>
      <c r="I38" s="209"/>
      <c r="J38" s="235"/>
      <c r="K38" s="236"/>
      <c r="L38" s="212"/>
    </row>
    <row r="39" spans="1:12" x14ac:dyDescent="0.25">
      <c r="A39" s="211"/>
      <c r="B39" s="237" t="s">
        <v>414</v>
      </c>
      <c r="C39" s="237"/>
      <c r="D39" s="225">
        <v>100</v>
      </c>
      <c r="E39" s="238" t="s">
        <v>415</v>
      </c>
      <c r="H39" s="239" t="s">
        <v>416</v>
      </c>
      <c r="I39" s="240"/>
      <c r="J39" s="225">
        <v>45</v>
      </c>
      <c r="K39" s="238" t="s">
        <v>417</v>
      </c>
      <c r="L39" s="212"/>
    </row>
    <row r="40" spans="1:12" x14ac:dyDescent="0.25">
      <c r="A40" s="211"/>
      <c r="B40" s="241" t="s">
        <v>418</v>
      </c>
      <c r="C40" s="242"/>
      <c r="D40" s="225">
        <v>100</v>
      </c>
      <c r="E40" s="238" t="s">
        <v>419</v>
      </c>
      <c r="H40" s="207" t="s">
        <v>420</v>
      </c>
      <c r="I40" s="209"/>
      <c r="J40" s="235"/>
      <c r="K40" s="236"/>
      <c r="L40" s="212"/>
    </row>
    <row r="41" spans="1:12" x14ac:dyDescent="0.25">
      <c r="A41" s="211"/>
      <c r="B41" s="207" t="s">
        <v>421</v>
      </c>
      <c r="C41" s="209"/>
      <c r="D41" s="243"/>
      <c r="E41" s="236"/>
      <c r="H41" s="239" t="s">
        <v>422</v>
      </c>
      <c r="I41" s="240"/>
      <c r="J41" s="225" t="s">
        <v>423</v>
      </c>
      <c r="K41" s="238" t="s">
        <v>424</v>
      </c>
      <c r="L41" s="212"/>
    </row>
    <row r="42" spans="1:12" x14ac:dyDescent="0.25">
      <c r="A42" s="211"/>
      <c r="B42" s="244" t="s">
        <v>425</v>
      </c>
      <c r="C42" s="245"/>
      <c r="D42" s="246">
        <v>18.399999999999999</v>
      </c>
      <c r="E42" s="225" t="s">
        <v>426</v>
      </c>
      <c r="H42" s="207" t="s">
        <v>427</v>
      </c>
      <c r="I42" s="209"/>
      <c r="J42" s="235"/>
      <c r="K42" s="236"/>
      <c r="L42" s="212"/>
    </row>
    <row r="43" spans="1:12" x14ac:dyDescent="0.25">
      <c r="A43" s="211"/>
      <c r="B43" s="247" t="s">
        <v>428</v>
      </c>
      <c r="C43" s="248"/>
      <c r="D43" s="243"/>
      <c r="E43" s="236"/>
      <c r="H43" s="239" t="s">
        <v>422</v>
      </c>
      <c r="I43" s="240"/>
      <c r="J43" s="225" t="s">
        <v>423</v>
      </c>
      <c r="K43" s="238" t="s">
        <v>429</v>
      </c>
      <c r="L43" s="212"/>
    </row>
    <row r="44" spans="1:12" x14ac:dyDescent="0.25">
      <c r="A44" s="211"/>
      <c r="B44" s="244" t="s">
        <v>430</v>
      </c>
      <c r="C44" s="245"/>
      <c r="D44" s="246"/>
      <c r="E44" s="225" t="s">
        <v>431</v>
      </c>
      <c r="H44" s="207" t="s">
        <v>432</v>
      </c>
      <c r="I44" s="209"/>
      <c r="J44" s="227">
        <v>2.7410000000000001</v>
      </c>
      <c r="K44" s="225" t="s">
        <v>433</v>
      </c>
      <c r="L44" s="212"/>
    </row>
    <row r="45" spans="1:12" ht="14.4" x14ac:dyDescent="0.3">
      <c r="A45" s="211"/>
      <c r="B45" s="249" t="s">
        <v>434</v>
      </c>
      <c r="C45" s="242"/>
      <c r="D45" s="235"/>
      <c r="E45" s="236"/>
      <c r="H45" s="239" t="s">
        <v>435</v>
      </c>
      <c r="I45" s="250"/>
      <c r="J45" s="251">
        <v>2.7E-2</v>
      </c>
      <c r="K45" s="160" t="s">
        <v>433</v>
      </c>
      <c r="L45" s="212"/>
    </row>
    <row r="46" spans="1:12" ht="14.4" x14ac:dyDescent="0.3">
      <c r="A46" s="211"/>
      <c r="B46" s="239" t="s">
        <v>436</v>
      </c>
      <c r="C46" s="240"/>
      <c r="D46" s="225">
        <v>10</v>
      </c>
      <c r="E46" s="225" t="s">
        <v>437</v>
      </c>
      <c r="H46" s="506" t="s">
        <v>438</v>
      </c>
      <c r="I46" s="376"/>
      <c r="J46" s="376"/>
      <c r="K46" s="377"/>
      <c r="L46" s="212"/>
    </row>
    <row r="47" spans="1:12" x14ac:dyDescent="0.25">
      <c r="A47" s="211"/>
      <c r="B47" s="207" t="s">
        <v>439</v>
      </c>
      <c r="C47" s="209"/>
      <c r="D47" s="227">
        <v>2.823</v>
      </c>
      <c r="E47" s="225" t="s">
        <v>433</v>
      </c>
      <c r="H47" s="207" t="s">
        <v>432</v>
      </c>
      <c r="I47" s="209"/>
      <c r="J47" s="227">
        <f>100/((100-I28)/D47+I28/J44)</f>
        <v>2.7836537398905774</v>
      </c>
      <c r="K47" s="225" t="s">
        <v>433</v>
      </c>
      <c r="L47" s="212"/>
    </row>
    <row r="48" spans="1:12" ht="14.4" x14ac:dyDescent="0.3">
      <c r="A48" s="211"/>
      <c r="B48" s="239" t="s">
        <v>435</v>
      </c>
      <c r="C48" s="250"/>
      <c r="D48" s="251">
        <v>1.7000000000000001E-2</v>
      </c>
      <c r="E48" s="160" t="s">
        <v>433</v>
      </c>
      <c r="F48"/>
      <c r="H48" s="239" t="s">
        <v>435</v>
      </c>
      <c r="I48" s="250"/>
      <c r="J48" s="252">
        <f>100/((100-I28)/D48+I28/J45)</f>
        <v>2.060587559258727E-2</v>
      </c>
      <c r="K48" s="160" t="s">
        <v>433</v>
      </c>
      <c r="L48" s="212"/>
    </row>
    <row r="49" spans="1:12" ht="14.4" x14ac:dyDescent="0.3">
      <c r="A49" s="211"/>
      <c r="C49" s="253"/>
      <c r="D49" s="254"/>
      <c r="E49" s="255"/>
      <c r="F49"/>
      <c r="H49"/>
      <c r="I49"/>
      <c r="J49"/>
      <c r="K49"/>
      <c r="L49" s="212"/>
    </row>
    <row r="50" spans="1:12" ht="14.4" x14ac:dyDescent="0.3">
      <c r="A50" s="211"/>
      <c r="C50"/>
      <c r="D50" s="256"/>
      <c r="E50" s="161"/>
      <c r="F50"/>
      <c r="H50"/>
      <c r="I50"/>
      <c r="J50"/>
      <c r="K50"/>
      <c r="L50" s="212"/>
    </row>
    <row r="51" spans="1:12" ht="14.4" x14ac:dyDescent="0.3">
      <c r="A51" s="211"/>
      <c r="B51"/>
      <c r="C51" s="257" t="s">
        <v>440</v>
      </c>
      <c r="D51" s="258"/>
      <c r="E51" s="259"/>
      <c r="F51" s="259"/>
      <c r="I51" s="259" t="s">
        <v>441</v>
      </c>
      <c r="J51" s="258"/>
      <c r="L51" s="212"/>
    </row>
    <row r="52" spans="1:12" ht="14.4" x14ac:dyDescent="0.3">
      <c r="A52" s="211"/>
      <c r="B52"/>
      <c r="D52" s="260"/>
      <c r="E52" s="260"/>
      <c r="H52"/>
      <c r="I52"/>
      <c r="L52" s="212"/>
    </row>
    <row r="53" spans="1:12" ht="14.4" x14ac:dyDescent="0.3">
      <c r="A53" s="211"/>
      <c r="B53"/>
      <c r="D53" s="260"/>
      <c r="E53" s="260"/>
      <c r="L53" s="212"/>
    </row>
    <row r="54" spans="1:12" ht="17.399999999999999" x14ac:dyDescent="0.3">
      <c r="A54" s="207"/>
      <c r="B54" s="208"/>
      <c r="C54" s="208"/>
      <c r="D54" s="208"/>
      <c r="E54" s="209"/>
      <c r="F54" s="261"/>
      <c r="G54" s="262"/>
      <c r="H54" s="262"/>
      <c r="I54" s="262"/>
      <c r="J54" s="263"/>
      <c r="K54" s="264"/>
      <c r="L54" s="265"/>
    </row>
    <row r="55" spans="1:12" ht="17.399999999999999" x14ac:dyDescent="0.3">
      <c r="A55" s="211"/>
      <c r="E55" s="212"/>
      <c r="F55" s="266"/>
      <c r="G55" s="267"/>
      <c r="H55" s="267"/>
      <c r="I55" s="267"/>
      <c r="J55" s="268"/>
      <c r="K55" s="269"/>
      <c r="L55" s="242"/>
    </row>
    <row r="56" spans="1:12" ht="17.399999999999999" x14ac:dyDescent="0.3">
      <c r="A56" s="239"/>
      <c r="B56" s="259"/>
      <c r="C56" s="259"/>
      <c r="D56" s="259"/>
      <c r="E56" s="240"/>
      <c r="F56" s="266"/>
      <c r="G56" s="267"/>
      <c r="H56" s="267"/>
      <c r="I56" s="267"/>
      <c r="J56" s="268"/>
      <c r="K56" s="269"/>
      <c r="L56" s="242"/>
    </row>
    <row r="57" spans="1:12" x14ac:dyDescent="0.25">
      <c r="A57" s="239"/>
      <c r="B57" s="259"/>
      <c r="C57" s="259"/>
      <c r="D57" s="259"/>
      <c r="E57" s="240"/>
      <c r="F57" s="270" t="s">
        <v>442</v>
      </c>
      <c r="G57" s="271"/>
      <c r="H57" s="271"/>
      <c r="I57" s="271" t="s">
        <v>443</v>
      </c>
      <c r="J57" s="216"/>
      <c r="K57" s="239"/>
      <c r="L57" s="240"/>
    </row>
    <row r="58" spans="1:12" ht="15.6" x14ac:dyDescent="0.25">
      <c r="F58" s="267"/>
    </row>
  </sheetData>
  <mergeCells count="1">
    <mergeCell ref="H46:K4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10CFC-63E0-4C52-8BB4-A7E75C12603F}">
  <dimension ref="A1:O16"/>
  <sheetViews>
    <sheetView workbookViewId="0">
      <selection activeCell="D14" sqref="D14"/>
    </sheetView>
  </sheetViews>
  <sheetFormatPr defaultRowHeight="14.4" x14ac:dyDescent="0.3"/>
  <sheetData>
    <row r="1" spans="1:15" x14ac:dyDescent="0.3">
      <c r="D1" s="312" t="s">
        <v>354</v>
      </c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</row>
    <row r="2" spans="1:15" x14ac:dyDescent="0.3">
      <c r="D2" s="312" t="s">
        <v>349</v>
      </c>
      <c r="E2" s="312"/>
      <c r="F2" s="312" t="s">
        <v>348</v>
      </c>
      <c r="G2" s="312"/>
      <c r="H2" s="312" t="s">
        <v>350</v>
      </c>
      <c r="I2" s="312"/>
      <c r="J2" s="312" t="s">
        <v>351</v>
      </c>
      <c r="K2" s="312"/>
      <c r="L2" s="312" t="s">
        <v>352</v>
      </c>
      <c r="M2" s="312"/>
      <c r="N2" s="312" t="s">
        <v>353</v>
      </c>
      <c r="O2" s="312"/>
    </row>
    <row r="3" spans="1:15" x14ac:dyDescent="0.3">
      <c r="D3" t="s">
        <v>103</v>
      </c>
      <c r="E3" t="s">
        <v>104</v>
      </c>
      <c r="F3" t="s">
        <v>103</v>
      </c>
      <c r="G3" t="s">
        <v>104</v>
      </c>
      <c r="H3" t="s">
        <v>103</v>
      </c>
      <c r="I3" t="s">
        <v>104</v>
      </c>
      <c r="J3" t="s">
        <v>103</v>
      </c>
      <c r="K3" t="s">
        <v>104</v>
      </c>
      <c r="L3" t="s">
        <v>103</v>
      </c>
      <c r="M3" t="s">
        <v>104</v>
      </c>
      <c r="N3" t="s">
        <v>103</v>
      </c>
      <c r="O3" t="s">
        <v>104</v>
      </c>
    </row>
    <row r="4" spans="1:15" x14ac:dyDescent="0.3">
      <c r="A4" t="s">
        <v>21</v>
      </c>
      <c r="B4" t="s">
        <v>21</v>
      </c>
      <c r="C4" t="s">
        <v>10</v>
      </c>
      <c r="D4" s="187">
        <v>1</v>
      </c>
      <c r="E4" s="187">
        <v>1</v>
      </c>
      <c r="F4" s="187">
        <v>1</v>
      </c>
      <c r="G4" s="187">
        <v>1</v>
      </c>
      <c r="H4" s="187"/>
      <c r="I4" s="187"/>
    </row>
    <row r="5" spans="1:15" x14ac:dyDescent="0.3">
      <c r="A5" t="s">
        <v>22</v>
      </c>
      <c r="B5" t="s">
        <v>22</v>
      </c>
      <c r="C5" s="188" t="s">
        <v>11</v>
      </c>
      <c r="D5" s="187">
        <v>0.84</v>
      </c>
      <c r="E5" s="187">
        <v>0.97</v>
      </c>
      <c r="F5" s="187">
        <v>0.9</v>
      </c>
      <c r="G5" s="187">
        <v>1</v>
      </c>
      <c r="H5" s="187"/>
      <c r="I5" s="187"/>
    </row>
    <row r="6" spans="1:15" x14ac:dyDescent="0.3">
      <c r="A6" t="s">
        <v>329</v>
      </c>
      <c r="B6" t="s">
        <v>329</v>
      </c>
      <c r="C6" s="188" t="s">
        <v>12</v>
      </c>
      <c r="D6" s="187">
        <v>0.66</v>
      </c>
      <c r="E6" s="187">
        <v>0.82</v>
      </c>
      <c r="F6" s="187">
        <v>0.78</v>
      </c>
      <c r="G6" s="187">
        <v>0.94</v>
      </c>
      <c r="H6" s="187">
        <v>1</v>
      </c>
      <c r="I6" s="187">
        <v>1</v>
      </c>
    </row>
    <row r="7" spans="1:15" x14ac:dyDescent="0.3">
      <c r="A7" t="s">
        <v>330</v>
      </c>
      <c r="B7" t="s">
        <v>330</v>
      </c>
      <c r="C7" s="188" t="s">
        <v>13</v>
      </c>
      <c r="D7" s="187">
        <v>0.56000000000000005</v>
      </c>
      <c r="E7" s="187">
        <v>0.72</v>
      </c>
      <c r="F7" s="187">
        <v>0.68</v>
      </c>
      <c r="G7" s="187">
        <v>0.84</v>
      </c>
      <c r="H7" s="187">
        <v>0.9</v>
      </c>
      <c r="I7" s="187">
        <v>1</v>
      </c>
    </row>
    <row r="8" spans="1:15" x14ac:dyDescent="0.3">
      <c r="A8" t="s">
        <v>23</v>
      </c>
      <c r="B8" t="s">
        <v>23</v>
      </c>
      <c r="C8" t="s">
        <v>346</v>
      </c>
      <c r="D8" s="187">
        <v>0.35</v>
      </c>
      <c r="E8" s="187">
        <v>0.5</v>
      </c>
      <c r="F8" s="187">
        <v>0.5</v>
      </c>
      <c r="G8" s="187">
        <v>0.65</v>
      </c>
      <c r="H8" s="187">
        <v>0.55000000000000004</v>
      </c>
      <c r="I8" s="187">
        <v>0.85</v>
      </c>
    </row>
    <row r="9" spans="1:15" x14ac:dyDescent="0.3">
      <c r="A9" t="s">
        <v>331</v>
      </c>
      <c r="B9" t="s">
        <v>331</v>
      </c>
      <c r="C9" t="s">
        <v>347</v>
      </c>
      <c r="D9" s="187">
        <v>0.23</v>
      </c>
      <c r="E9" s="187">
        <v>0.38</v>
      </c>
      <c r="F9" s="187">
        <v>0.3</v>
      </c>
      <c r="G9" s="187">
        <v>0.49</v>
      </c>
      <c r="H9" s="187">
        <v>0.32</v>
      </c>
      <c r="I9" s="187">
        <v>0.67</v>
      </c>
    </row>
    <row r="10" spans="1:15" x14ac:dyDescent="0.3">
      <c r="A10" t="s">
        <v>332</v>
      </c>
      <c r="B10" t="s">
        <v>332</v>
      </c>
      <c r="C10" t="s">
        <v>339</v>
      </c>
      <c r="D10" s="187"/>
      <c r="E10" s="187"/>
      <c r="F10" s="187"/>
      <c r="G10" s="187"/>
      <c r="H10" s="187"/>
      <c r="I10" s="187"/>
    </row>
    <row r="11" spans="1:15" x14ac:dyDescent="0.3">
      <c r="A11" t="s">
        <v>333</v>
      </c>
      <c r="B11" t="s">
        <v>333</v>
      </c>
      <c r="C11" t="s">
        <v>340</v>
      </c>
      <c r="D11" s="187"/>
      <c r="E11" s="187"/>
      <c r="F11" s="187"/>
      <c r="G11" s="187"/>
      <c r="H11" s="187"/>
      <c r="I11" s="187"/>
    </row>
    <row r="12" spans="1:15" x14ac:dyDescent="0.3">
      <c r="A12" t="s">
        <v>334</v>
      </c>
      <c r="B12" t="s">
        <v>334</v>
      </c>
      <c r="C12" t="s">
        <v>341</v>
      </c>
      <c r="D12" s="187"/>
      <c r="E12" s="187"/>
      <c r="F12" s="187"/>
      <c r="G12" s="187"/>
      <c r="H12" s="187"/>
      <c r="I12" s="187"/>
    </row>
    <row r="13" spans="1:15" x14ac:dyDescent="0.3">
      <c r="A13" t="s">
        <v>335</v>
      </c>
      <c r="B13" t="s">
        <v>335</v>
      </c>
      <c r="C13" t="s">
        <v>342</v>
      </c>
      <c r="D13" s="187"/>
      <c r="E13" s="187"/>
      <c r="F13" s="187"/>
      <c r="G13" s="187"/>
      <c r="H13" s="187"/>
      <c r="I13" s="187"/>
    </row>
    <row r="14" spans="1:15" x14ac:dyDescent="0.3">
      <c r="A14" t="s">
        <v>336</v>
      </c>
      <c r="B14" t="s">
        <v>336</v>
      </c>
      <c r="C14" t="s">
        <v>343</v>
      </c>
      <c r="D14" s="187">
        <v>0.05</v>
      </c>
      <c r="E14" s="187">
        <v>0.19</v>
      </c>
      <c r="F14" s="187">
        <v>7.0000000000000007E-2</v>
      </c>
      <c r="G14" s="187">
        <v>0.25</v>
      </c>
      <c r="H14" s="187">
        <v>7.0000000000000007E-2</v>
      </c>
      <c r="I14" s="187">
        <v>0.27</v>
      </c>
    </row>
    <row r="15" spans="1:15" x14ac:dyDescent="0.3">
      <c r="A15" t="s">
        <v>337</v>
      </c>
      <c r="B15" t="s">
        <v>337</v>
      </c>
      <c r="C15" t="s">
        <v>344</v>
      </c>
      <c r="D15" s="187"/>
      <c r="E15" s="187"/>
      <c r="F15" s="187"/>
      <c r="G15" s="187"/>
      <c r="H15" s="187"/>
      <c r="I15" s="187"/>
    </row>
    <row r="16" spans="1:15" x14ac:dyDescent="0.3">
      <c r="A16" t="s">
        <v>338</v>
      </c>
      <c r="B16" t="s">
        <v>338</v>
      </c>
      <c r="C16" t="s">
        <v>345</v>
      </c>
      <c r="D16" s="187">
        <v>0.02</v>
      </c>
      <c r="E16" s="187">
        <v>7.0000000000000007E-2</v>
      </c>
      <c r="F16" s="187">
        <v>0.02</v>
      </c>
      <c r="G16" s="187">
        <v>0.09</v>
      </c>
      <c r="H16" s="187">
        <v>0.02</v>
      </c>
      <c r="I16" s="187">
        <v>0.1</v>
      </c>
    </row>
  </sheetData>
  <mergeCells count="7">
    <mergeCell ref="D1:O1"/>
    <mergeCell ref="D2:E2"/>
    <mergeCell ref="F2:G2"/>
    <mergeCell ref="H2:I2"/>
    <mergeCell ref="J2:K2"/>
    <mergeCell ref="L2:M2"/>
    <mergeCell ref="N2:O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E3F2E-F76E-495D-B20B-47D6FAE68C5D}">
  <dimension ref="A1:AR32"/>
  <sheetViews>
    <sheetView showZeros="0" topLeftCell="A13" zoomScaleNormal="100" workbookViewId="0">
      <selection activeCell="H69" sqref="H69"/>
    </sheetView>
  </sheetViews>
  <sheetFormatPr defaultRowHeight="14.4" x14ac:dyDescent="0.3"/>
  <cols>
    <col min="1" max="1" width="3.5546875" style="8" bestFit="1" customWidth="1"/>
    <col min="2" max="2" width="11.33203125" style="8" bestFit="1" customWidth="1"/>
    <col min="3" max="3" width="7.33203125" style="8" bestFit="1" customWidth="1"/>
    <col min="4" max="4" width="18.6640625" style="8" customWidth="1"/>
    <col min="5" max="5" width="14.44140625" style="8" bestFit="1" customWidth="1"/>
    <col min="6" max="6" width="8.109375" customWidth="1"/>
    <col min="7" max="7" width="6.5546875" bestFit="1" customWidth="1"/>
    <col min="8" max="8" width="12.88671875" bestFit="1" customWidth="1"/>
    <col min="9" max="9" width="4" bestFit="1" customWidth="1"/>
    <col min="10" max="10" width="8.44140625" bestFit="1" customWidth="1"/>
    <col min="11" max="11" width="6.109375" bestFit="1" customWidth="1"/>
    <col min="12" max="12" width="9.88671875" bestFit="1" customWidth="1"/>
    <col min="13" max="18" width="3.5546875" bestFit="1" customWidth="1"/>
    <col min="19" max="19" width="6.44140625" bestFit="1" customWidth="1"/>
    <col min="20" max="20" width="13.44140625" style="11" bestFit="1" customWidth="1"/>
    <col min="21" max="21" width="6.33203125" style="68" customWidth="1"/>
    <col min="22" max="22" width="6.33203125" style="64" customWidth="1"/>
    <col min="23" max="23" width="10" bestFit="1" customWidth="1"/>
    <col min="24" max="24" width="10.44140625" bestFit="1" customWidth="1"/>
    <col min="25" max="25" width="11" bestFit="1" customWidth="1"/>
  </cols>
  <sheetData>
    <row r="1" spans="1:44" x14ac:dyDescent="0.3">
      <c r="A1" t="s">
        <v>223</v>
      </c>
      <c r="B1" s="26" t="s">
        <v>222</v>
      </c>
      <c r="C1" s="26" t="s">
        <v>224</v>
      </c>
      <c r="D1" s="26" t="s">
        <v>108</v>
      </c>
      <c r="E1" s="26" t="s">
        <v>225</v>
      </c>
      <c r="F1" s="26" t="s">
        <v>226</v>
      </c>
      <c r="G1" s="26" t="s">
        <v>109</v>
      </c>
      <c r="H1" s="26" t="s">
        <v>227</v>
      </c>
      <c r="I1" s="26" t="s">
        <v>10</v>
      </c>
      <c r="J1" s="26" t="s">
        <v>11</v>
      </c>
      <c r="K1" s="26" t="s">
        <v>13</v>
      </c>
      <c r="L1" s="26" t="s">
        <v>14</v>
      </c>
      <c r="M1" s="26" t="s">
        <v>15</v>
      </c>
      <c r="N1" s="26" t="s">
        <v>75</v>
      </c>
      <c r="O1" s="26" t="s">
        <v>228</v>
      </c>
      <c r="P1" s="26" t="s">
        <v>17</v>
      </c>
      <c r="Q1" s="46" t="s">
        <v>18</v>
      </c>
      <c r="R1" s="46" t="s">
        <v>229</v>
      </c>
      <c r="S1" s="46" t="s">
        <v>20</v>
      </c>
      <c r="T1" s="46" t="s">
        <v>231</v>
      </c>
      <c r="U1" s="68" t="s">
        <v>230</v>
      </c>
      <c r="V1" s="68" t="s">
        <v>232</v>
      </c>
      <c r="W1" t="s">
        <v>233</v>
      </c>
      <c r="X1" t="s">
        <v>234</v>
      </c>
      <c r="Y1" t="s">
        <v>235</v>
      </c>
      <c r="Z1" t="s">
        <v>147</v>
      </c>
      <c r="AA1" t="s">
        <v>253</v>
      </c>
      <c r="AB1" t="s">
        <v>254</v>
      </c>
      <c r="AC1" t="s">
        <v>236</v>
      </c>
      <c r="AD1" t="s">
        <v>237</v>
      </c>
      <c r="AE1" t="s">
        <v>238</v>
      </c>
      <c r="AF1" t="s">
        <v>239</v>
      </c>
      <c r="AG1" t="s">
        <v>240</v>
      </c>
      <c r="AH1" t="s">
        <v>241</v>
      </c>
      <c r="AI1" t="s">
        <v>242</v>
      </c>
      <c r="AJ1" t="s">
        <v>243</v>
      </c>
      <c r="AK1" t="s">
        <v>244</v>
      </c>
      <c r="AL1" t="s">
        <v>245</v>
      </c>
      <c r="AM1" t="s">
        <v>246</v>
      </c>
      <c r="AN1" t="s">
        <v>247</v>
      </c>
      <c r="AO1" t="s">
        <v>248</v>
      </c>
      <c r="AP1" t="s">
        <v>249</v>
      </c>
      <c r="AQ1" t="s">
        <v>250</v>
      </c>
      <c r="AR1" t="s">
        <v>251</v>
      </c>
    </row>
    <row r="2" spans="1:44" x14ac:dyDescent="0.3">
      <c r="A2"/>
      <c r="B2" s="29">
        <f>'1 MIX DESIGN FORM'!C39</f>
        <v>0</v>
      </c>
      <c r="C2" s="29">
        <f>'1 MIX DESIGN FORM'!I7</f>
        <v>0</v>
      </c>
      <c r="E2" s="8" t="e">
        <f>#REF!</f>
        <v>#REF!</v>
      </c>
      <c r="F2" s="8">
        <f>'1 MIX DESIGN FORM'!K31</f>
        <v>0</v>
      </c>
      <c r="G2" s="27"/>
      <c r="H2" s="28" t="e">
        <f>'1 MIX DESIGN FORM'!#REF!</f>
        <v>#REF!</v>
      </c>
      <c r="I2" s="28">
        <f>'1 MIX DESIGN FORM'!C16</f>
        <v>99</v>
      </c>
      <c r="J2" s="28">
        <f>'1 MIX DESIGN FORM'!C17</f>
        <v>97</v>
      </c>
      <c r="K2">
        <f>'1 MIX DESIGN FORM'!C19</f>
        <v>56</v>
      </c>
      <c r="L2" s="28">
        <f>'1 MIX DESIGN FORM'!C20</f>
        <v>35</v>
      </c>
      <c r="M2">
        <f>'1 MIX DESIGN FORM'!C21</f>
        <v>28</v>
      </c>
      <c r="N2">
        <f>'1 MIX DESIGN FORM'!C22</f>
        <v>0</v>
      </c>
      <c r="O2" s="28">
        <f>'1 MIX DESIGN FORM'!C23</f>
        <v>0</v>
      </c>
      <c r="P2" s="28">
        <f>'1 MIX DESIGN FORM'!C24</f>
        <v>0</v>
      </c>
      <c r="Q2">
        <f>'1 MIX DESIGN FORM'!C26</f>
        <v>16</v>
      </c>
      <c r="R2">
        <f>'1 MIX DESIGN FORM'!C27</f>
        <v>0</v>
      </c>
      <c r="S2">
        <f>'1 MIX DESIGN FORM'!C28</f>
        <v>8</v>
      </c>
      <c r="T2">
        <f>'1 MIX DESIGN FORM'!K20</f>
        <v>0.1</v>
      </c>
      <c r="V2" s="68">
        <f>'1 MIX DESIGN FORM'!D30</f>
        <v>0</v>
      </c>
      <c r="W2">
        <f>'1 MIX DESIGN FORM'!D33</f>
        <v>0</v>
      </c>
      <c r="X2">
        <f>'1 MIX DESIGN FORM'!D34</f>
        <v>0</v>
      </c>
      <c r="Y2">
        <f>'1 MIX DESIGN FORM'!D35</f>
        <v>0</v>
      </c>
      <c r="Z2">
        <f>'1 MIX DESIGN FORM'!K21</f>
        <v>0.05</v>
      </c>
      <c r="AA2">
        <f>'1 MIX DESIGN FORM'!K26</f>
        <v>0</v>
      </c>
      <c r="AB2">
        <f>'1 MIX DESIGN FORM'!K27</f>
        <v>0</v>
      </c>
      <c r="AC2">
        <f>'1 MIX DESIGN FORM'!K28</f>
        <v>0</v>
      </c>
      <c r="AE2">
        <f>'1 MIX DESIGN FORM'!K29</f>
        <v>0</v>
      </c>
      <c r="AF2">
        <f>'1 MIX DESIGN FORM'!K32</f>
        <v>0</v>
      </c>
      <c r="AG2">
        <f>'1 MIX DESIGN FORM'!K33</f>
        <v>0</v>
      </c>
      <c r="AH2">
        <f>'1 MIX DESIGN FORM'!K34</f>
        <v>0</v>
      </c>
      <c r="AI2">
        <f>'1 MIX DESIGN FORM'!K35</f>
        <v>0</v>
      </c>
      <c r="AN2">
        <f>'1 MIX DESIGN FORM'!I6</f>
        <v>0</v>
      </c>
      <c r="AO2" t="str">
        <f>'1 MIX DESIGN FORM'!E12</f>
        <v>2 COURSE</v>
      </c>
      <c r="AR2">
        <f>'1 MIX DESIGN FORM'!K21</f>
        <v>0.05</v>
      </c>
    </row>
    <row r="4" spans="1:44" x14ac:dyDescent="0.3">
      <c r="A4"/>
      <c r="B4"/>
    </row>
    <row r="16" spans="1:44" ht="35.25" customHeight="1" x14ac:dyDescent="0.3">
      <c r="A16" s="515" t="s">
        <v>117</v>
      </c>
      <c r="B16" s="515"/>
      <c r="C16" s="515"/>
      <c r="D16" s="515"/>
      <c r="E16" s="515"/>
      <c r="F16" s="515"/>
      <c r="G16" s="515"/>
      <c r="H16" s="511" t="s">
        <v>114</v>
      </c>
      <c r="I16" s="511"/>
      <c r="J16" s="511"/>
      <c r="K16" s="516" t="s">
        <v>80</v>
      </c>
      <c r="L16" s="508" t="s">
        <v>119</v>
      </c>
      <c r="M16" s="510" t="s">
        <v>116</v>
      </c>
      <c r="N16" s="510"/>
      <c r="O16" s="510"/>
      <c r="P16" s="510"/>
      <c r="Q16" s="510"/>
      <c r="R16" s="510"/>
      <c r="S16" s="518" t="s">
        <v>115</v>
      </c>
      <c r="T16" s="518"/>
      <c r="U16" s="518"/>
      <c r="V16" s="518"/>
      <c r="W16" s="507" t="s">
        <v>118</v>
      </c>
      <c r="X16" s="507"/>
      <c r="Y16" s="507"/>
    </row>
    <row r="17" spans="1:25" ht="28.8" x14ac:dyDescent="0.3">
      <c r="A17" s="519" t="s">
        <v>61</v>
      </c>
      <c r="B17" s="519"/>
      <c r="C17" s="519" t="s">
        <v>62</v>
      </c>
      <c r="D17" s="519"/>
      <c r="E17" s="512" t="s">
        <v>113</v>
      </c>
      <c r="F17" s="513"/>
      <c r="G17" s="514"/>
      <c r="H17" s="32" t="s">
        <v>105</v>
      </c>
      <c r="I17" s="33" t="s">
        <v>79</v>
      </c>
      <c r="J17" s="33" t="s">
        <v>78</v>
      </c>
      <c r="K17" s="517"/>
      <c r="L17" s="509"/>
      <c r="M17" s="520" t="s">
        <v>55</v>
      </c>
      <c r="N17" s="520"/>
      <c r="O17" s="520" t="s">
        <v>56</v>
      </c>
      <c r="P17" s="520"/>
      <c r="Q17" s="520" t="s">
        <v>57</v>
      </c>
      <c r="R17" s="520"/>
      <c r="S17" s="40" t="s">
        <v>101</v>
      </c>
      <c r="T17" s="39" t="s">
        <v>105</v>
      </c>
      <c r="U17" s="87" t="s">
        <v>103</v>
      </c>
      <c r="V17" s="88" t="s">
        <v>104</v>
      </c>
      <c r="W17" s="31" t="s">
        <v>106</v>
      </c>
      <c r="X17" s="31" t="s">
        <v>107</v>
      </c>
      <c r="Y17" s="38" t="s">
        <v>159</v>
      </c>
    </row>
    <row r="18" spans="1:25" x14ac:dyDescent="0.3">
      <c r="A18" s="19"/>
      <c r="B18" s="19"/>
      <c r="C18" s="19"/>
      <c r="D18" s="19"/>
      <c r="E18" s="19"/>
      <c r="F18" s="19"/>
      <c r="G18" s="19"/>
      <c r="H18" s="19"/>
      <c r="I18" s="20"/>
      <c r="J18" s="20"/>
      <c r="K18" s="25"/>
      <c r="L18" s="34"/>
      <c r="M18" s="19"/>
      <c r="N18" s="19"/>
      <c r="O18" s="19"/>
      <c r="P18" s="19"/>
      <c r="Q18" s="19"/>
      <c r="R18" s="19"/>
      <c r="S18" s="17"/>
      <c r="T18" s="17"/>
      <c r="U18" s="69"/>
      <c r="V18" s="41"/>
      <c r="W18" s="30">
        <f>IF('1 MIX DESIGN FORM'!E12="UTACS",'Data Extract'!U18,IF('1 MIX DESIGN FORM'!E12="2 Course",'Data Extract'!A18,'Data Extract'!C18))</f>
        <v>0</v>
      </c>
      <c r="X18" s="30">
        <f>IF('1 MIX DESIGN FORM'!F12="UTACS",'Data Extract'!V18,IF('1 MIX DESIGN FORM'!F12="2 Course",'Data Extract'!B18,'Data Extract'!D18))</f>
        <v>0</v>
      </c>
      <c r="Y18" s="30"/>
    </row>
    <row r="19" spans="1:25" x14ac:dyDescent="0.3">
      <c r="A19" s="21">
        <v>100</v>
      </c>
      <c r="B19" s="21">
        <v>100</v>
      </c>
      <c r="C19" s="21">
        <v>100</v>
      </c>
      <c r="D19" s="21">
        <v>100</v>
      </c>
      <c r="E19" s="21">
        <f>IF('1 MIX DESIGN FORM'!$E$12="2 COURSE",'Data Extract'!A19,IF('1 MIX DESIGN FORM'!$E$12="2 FINE",'Data Extract'!C19,""))</f>
        <v>100</v>
      </c>
      <c r="F19" s="21">
        <f>IF('1 MIX DESIGN FORM'!$E$12="2 course",'Data Extract'!B19,IF('1 MIX DESIGN FORM'!$E$12="2 fine",'Data Extract'!D19,""))</f>
        <v>100</v>
      </c>
      <c r="G19" s="21" t="str">
        <f>CONCATENATE(E19,"-",F19)</f>
        <v>100-100</v>
      </c>
      <c r="H19" s="21">
        <v>0</v>
      </c>
      <c r="I19" s="36">
        <v>100</v>
      </c>
      <c r="J19" s="12">
        <v>100</v>
      </c>
      <c r="K19" s="21">
        <f>IFERROR(MROUND('1 MIX DESIGN FORM'!W7,0.1),"")</f>
        <v>99</v>
      </c>
      <c r="L19" s="34" t="s">
        <v>10</v>
      </c>
      <c r="M19" s="22"/>
      <c r="N19" s="22"/>
      <c r="O19" s="22"/>
      <c r="P19" s="22"/>
      <c r="Q19" s="22"/>
      <c r="R19" s="18"/>
      <c r="S19" s="9"/>
      <c r="T19" s="9"/>
      <c r="U19" s="71" t="str">
        <f>IF(T19="","",IF('1 MIX DESIGN FORM'!$E$12&lt;&gt;"UTACS","",#REF!-T19))</f>
        <v/>
      </c>
      <c r="V19" s="70" t="str">
        <f>IF(T19="","",IF('1 MIX DESIGN FORM'!$E$12&lt;&gt;"UTACS","",#REF!+T19))</f>
        <v/>
      </c>
      <c r="W19" s="30">
        <f>IF('1 MIX DESIGN FORM'!$E$12="UTACS",IF('1 MIX DESIGN FORM'!$K$21="s1",CONCATENATE(M20,"-",N20),IF('1 MIX DESIGN FORM'!$K$21="S2",CONCATENATE(O20,"-",P20),IF('1 MIX DESIGN FORM'!$K$21="S3",CONCATENATE(Q20,"-",R20),""))),IF('1 MIX DESIGN FORM'!$E$12="2 Course",'Data Extract'!A19,IF('1 MIX DESIGN FORM'!$E$12="2 Fine",'Data Extract'!C19,"")))</f>
        <v>100</v>
      </c>
      <c r="X19" s="30">
        <f>IF('1 MIX DESIGN FORM'!$E$12="UTACS",'Data Extract'!V19,IF('1 MIX DESIGN FORM'!$E$12="2 Course",'Data Extract'!B19,IF('1 MIX DESIGN FORM'!$E$12="2 Fine",'Data Extract'!D19,"")))</f>
        <v>100</v>
      </c>
      <c r="Y19" s="30" t="str">
        <f>IF(W19&lt;1,"",CONCATENATE(W19,"-",X19))</f>
        <v>100-100</v>
      </c>
    </row>
    <row r="20" spans="1:25" x14ac:dyDescent="0.3">
      <c r="A20" s="19">
        <v>84</v>
      </c>
      <c r="B20" s="19">
        <v>97</v>
      </c>
      <c r="C20" s="19">
        <v>90</v>
      </c>
      <c r="D20" s="19">
        <v>100</v>
      </c>
      <c r="E20" s="21">
        <f>IF('1 MIX DESIGN FORM'!$E$12="2 COURSE",'Data Extract'!A20,IF('1 MIX DESIGN FORM'!$E$12="2 FINE",'Data Extract'!C20,""))</f>
        <v>84</v>
      </c>
      <c r="F20" s="21">
        <f>IF('1 MIX DESIGN FORM'!$E$12="2 course",'Data Extract'!B20,IF('1 MIX DESIGN FORM'!$E$12="2 fine",'Data Extract'!D20,""))</f>
        <v>97</v>
      </c>
      <c r="G20" s="21" t="str">
        <f t="shared" ref="G20:G30" si="0">CONCATENATE(E20,"-",F20)</f>
        <v>84-97</v>
      </c>
      <c r="H20" s="21">
        <v>7</v>
      </c>
      <c r="I20" s="50">
        <f t="shared" ref="I20:I29" si="1">IFERROR(MROUND(IF(H20="","",IF(K20="","",K20-H20)),0.1),"")</f>
        <v>90</v>
      </c>
      <c r="J20" s="50">
        <f t="shared" ref="J20:J29" si="2">IFERROR(MROUND(IF(K20="","",IF(H20="","",MIN(K20+H20,100))),0.1),"")</f>
        <v>100</v>
      </c>
      <c r="K20" s="21">
        <f>IFERROR(MROUND('1 MIX DESIGN FORM'!W8,0.1),"")</f>
        <v>97</v>
      </c>
      <c r="L20" s="35" t="s">
        <v>11</v>
      </c>
      <c r="M20" s="22"/>
      <c r="N20" s="22"/>
      <c r="O20" s="22"/>
      <c r="P20" s="22"/>
      <c r="Q20" s="22" t="s">
        <v>60</v>
      </c>
      <c r="R20" s="18" t="s">
        <v>60</v>
      </c>
      <c r="S20" s="9" t="str">
        <f>IF('1 MIX DESIGN FORM'!$E$12="UTACS",IF('1 MIX DESIGN FORM'!$K$21="s1",CONCATENATE(M20,"-",N20),IF('1 MIX DESIGN FORM'!$K$21="S2",CONCATENATE(O20,"-",P20),IF('1 MIX DESIGN FORM'!$K$21="S3",CONCATENATE(Q20,"-",R20),""))),"")</f>
        <v/>
      </c>
      <c r="T20" s="9"/>
      <c r="U20" s="71">
        <v>100</v>
      </c>
      <c r="V20" s="71">
        <v>100</v>
      </c>
      <c r="W20" s="30">
        <f>IF('1 MIX DESIGN FORM'!$E$12="UTACS",U20,IF('1 MIX DESIGN FORM'!$E$12="2 Course",'Data Extract'!A20,IF('1 MIX DESIGN FORM'!$E$12="2 Fine",'Data Extract'!C20,"")))</f>
        <v>84</v>
      </c>
      <c r="X20" s="30">
        <f>IF('1 MIX DESIGN FORM'!$E$12="UTACS",'Data Extract'!V20,IF('1 MIX DESIGN FORM'!$E$12="2 Course",'Data Extract'!B20,IF('1 MIX DESIGN FORM'!$E$12="2 Fine",'Data Extract'!D20,"")))</f>
        <v>97</v>
      </c>
      <c r="Y20" s="30" t="str">
        <f>IF(W20&lt;1,"",CONCATENATE(W20,"-",X20))</f>
        <v>84-97</v>
      </c>
    </row>
    <row r="21" spans="1:25" x14ac:dyDescent="0.3">
      <c r="A21" s="19">
        <v>66</v>
      </c>
      <c r="B21" s="19">
        <v>82</v>
      </c>
      <c r="C21" s="19">
        <v>78</v>
      </c>
      <c r="D21" s="19">
        <v>94</v>
      </c>
      <c r="E21" s="21">
        <f>IF('1 MIX DESIGN FORM'!$E$12="2 COURSE",'Data Extract'!A21,IF('1 MIX DESIGN FORM'!$E$12="2 FINE",'Data Extract'!C21,""))</f>
        <v>66</v>
      </c>
      <c r="F21" s="21">
        <f>IF('1 MIX DESIGN FORM'!$E$12="2 course",'Data Extract'!B21,IF('1 MIX DESIGN FORM'!$E$12="2 fine",'Data Extract'!D21,""))</f>
        <v>82</v>
      </c>
      <c r="G21" s="21" t="str">
        <f t="shared" si="0"/>
        <v>66-82</v>
      </c>
      <c r="H21" s="21">
        <v>7</v>
      </c>
      <c r="I21" s="50">
        <f t="shared" si="1"/>
        <v>62</v>
      </c>
      <c r="J21" s="50">
        <f t="shared" si="2"/>
        <v>76</v>
      </c>
      <c r="K21" s="21">
        <f>IFERROR(MROUND('1 MIX DESIGN FORM'!W9,0.1),"")</f>
        <v>69</v>
      </c>
      <c r="L21" s="34" t="s">
        <v>12</v>
      </c>
      <c r="M21" s="22"/>
      <c r="N21" s="22"/>
      <c r="O21" s="22" t="s">
        <v>60</v>
      </c>
      <c r="P21" s="22" t="s">
        <v>60</v>
      </c>
      <c r="Q21" s="22" t="s">
        <v>97</v>
      </c>
      <c r="R21" s="18" t="s">
        <v>60</v>
      </c>
      <c r="S21" s="9" t="str">
        <f>IF('1 MIX DESIGN FORM'!$E$12="UTACS",IF('1 MIX DESIGN FORM'!$K$21="s1",CONCATENATE(M21,"-",N21),IF('1 MIX DESIGN FORM'!$K$21="S2",CONCATENATE(O21,"-",P21),IF('1 MIX DESIGN FORM'!$K$21="S3",CONCATENATE(Q21,"-",R21),""))),"")</f>
        <v/>
      </c>
      <c r="T21" s="9"/>
      <c r="U21" s="71" t="str">
        <f>IF(T21="","",IF('1 MIX DESIGN FORM'!$E$12="UTACS",IF('1 MIX DESIGN FORM'!$K$22="S1",'Data Extract'!M21,IF('1 MIX DESIGN FORM'!$K$22="S2",'Data Extract'!O21,IF('1 MIX DESIGN FORM'!$K$21="S3",'Data Extract'!Q21,"")))))</f>
        <v/>
      </c>
      <c r="V21" s="71" t="str">
        <f>IF(U21="","",IF('1 MIX DESIGN FORM'!$E$12="UTACS",IF('1 MIX DESIGN FORM'!$K$22="S1",'Data Extract'!N21,IF('1 MIX DESIGN FORM'!$K$22="S2",'Data Extract'!P21,IF('1 MIX DESIGN FORM'!$K$21="S3",'Data Extract'!R21,"")))))</f>
        <v/>
      </c>
      <c r="W21" s="30">
        <f>IF('1 MIX DESIGN FORM'!$E$12="UTACS",'Data Extract'!U21,IF('1 MIX DESIGN FORM'!$E$12="2 Course",'Data Extract'!A21,IF('1 MIX DESIGN FORM'!$E$12="2 Fine",'Data Extract'!C21,"")))</f>
        <v>66</v>
      </c>
      <c r="X21" s="30">
        <f>IF('1 MIX DESIGN FORM'!$E$12="UTACS",'Data Extract'!V21,IF('1 MIX DESIGN FORM'!$E$12="2 Course",'Data Extract'!B21,IF('1 MIX DESIGN FORM'!$E$12="2 Fine",'Data Extract'!D21,"")))</f>
        <v>82</v>
      </c>
      <c r="Y21" s="30" t="str">
        <f t="shared" ref="Y21:Y30" si="3">IF(W21&lt;1,"",CONCATENATE(W21,"-",X21))</f>
        <v>66-82</v>
      </c>
    </row>
    <row r="22" spans="1:25" x14ac:dyDescent="0.3">
      <c r="A22" s="19">
        <v>56</v>
      </c>
      <c r="B22" s="19">
        <v>72</v>
      </c>
      <c r="C22" s="19">
        <v>68</v>
      </c>
      <c r="D22" s="19">
        <v>94</v>
      </c>
      <c r="E22" s="21">
        <f>IF('1 MIX DESIGN FORM'!$E$12="2 COURSE",'Data Extract'!A22,IF('1 MIX DESIGN FORM'!$E$12="2 FINE",'Data Extract'!C22,""))</f>
        <v>56</v>
      </c>
      <c r="F22" s="21">
        <f>IF('1 MIX DESIGN FORM'!$E$12="2 course",'Data Extract'!B22,IF('1 MIX DESIGN FORM'!$E$12="2 fine",'Data Extract'!D22,""))</f>
        <v>72</v>
      </c>
      <c r="G22" s="21" t="str">
        <f t="shared" si="0"/>
        <v>56-72</v>
      </c>
      <c r="H22" s="21">
        <v>7</v>
      </c>
      <c r="I22" s="50">
        <f t="shared" si="1"/>
        <v>49</v>
      </c>
      <c r="J22" s="50">
        <f t="shared" si="2"/>
        <v>63</v>
      </c>
      <c r="K22" s="21">
        <f>IFERROR(MROUND('1 MIX DESIGN FORM'!W10,0.1),"")</f>
        <v>56</v>
      </c>
      <c r="L22" s="34" t="s">
        <v>13</v>
      </c>
      <c r="M22" s="22">
        <v>100</v>
      </c>
      <c r="N22" s="22" t="s">
        <v>60</v>
      </c>
      <c r="O22" s="22" t="s">
        <v>97</v>
      </c>
      <c r="P22" s="22" t="s">
        <v>60</v>
      </c>
      <c r="Q22" s="22" t="s">
        <v>100</v>
      </c>
      <c r="R22" s="18" t="s">
        <v>98</v>
      </c>
      <c r="S22" s="9" t="str">
        <f>IF('1 MIX DESIGN FORM'!$E$12="UTACS",IF('1 MIX DESIGN FORM'!$K$21="s1",CONCATENATE(M22,"-",N22),IF('1 MIX DESIGN FORM'!$K$21="S2",CONCATENATE(O22,"-",P22),IF('1 MIX DESIGN FORM'!$K$21="S3",CONCATENATE(Q22,"-",R22),""))),"")</f>
        <v/>
      </c>
      <c r="T22" s="9">
        <v>0</v>
      </c>
      <c r="U22" s="71" t="b">
        <f>IF(T22="","",IF('1 MIX DESIGN FORM'!$E$12="UTACS",IF('1 MIX DESIGN FORM'!$K$22="S1",'Data Extract'!M22,IF('1 MIX DESIGN FORM'!$K$22="S2",'Data Extract'!O22,IF('1 MIX DESIGN FORM'!$K$21="S3",'Data Extract'!Q22,"")))))</f>
        <v>0</v>
      </c>
      <c r="V22" s="71" t="b">
        <f>IF(U22="","",IF('1 MIX DESIGN FORM'!$E$12="UTACS",IF('1 MIX DESIGN FORM'!$K$22="S1",'Data Extract'!N22,IF('1 MIX DESIGN FORM'!$K$22="S2",'Data Extract'!P22,IF('1 MIX DESIGN FORM'!$K$21="S3",'Data Extract'!R22,"")))))</f>
        <v>0</v>
      </c>
      <c r="W22" s="30">
        <f>IF('1 MIX DESIGN FORM'!$E$12="UTACS",'Data Extract'!U22,IF('1 MIX DESIGN FORM'!$E$12="2 Course",'Data Extract'!A22,IF('1 MIX DESIGN FORM'!$E$12="2 Fine",'Data Extract'!C22,"")))</f>
        <v>56</v>
      </c>
      <c r="X22" s="30">
        <f>IF('1 MIX DESIGN FORM'!$E$12="UTACS",'Data Extract'!V22,IF('1 MIX DESIGN FORM'!$E$12="2 Course",'Data Extract'!B22,IF('1 MIX DESIGN FORM'!$E$12="2 Fine",'Data Extract'!D22,"")))</f>
        <v>72</v>
      </c>
      <c r="Y22" s="30" t="str">
        <f t="shared" si="3"/>
        <v>56-72</v>
      </c>
    </row>
    <row r="23" spans="1:25" x14ac:dyDescent="0.3">
      <c r="A23" s="19">
        <v>35</v>
      </c>
      <c r="B23" s="19">
        <v>50</v>
      </c>
      <c r="C23" s="19">
        <v>50</v>
      </c>
      <c r="D23" s="19">
        <v>65</v>
      </c>
      <c r="E23" s="21">
        <f>IF('1 MIX DESIGN FORM'!$E$12="2 COURSE",'Data Extract'!A23,IF('1 MIX DESIGN FORM'!$E$12="2 FINE",'Data Extract'!C23,""))</f>
        <v>35</v>
      </c>
      <c r="F23" s="21">
        <f>IF('1 MIX DESIGN FORM'!$E$12="2 course",'Data Extract'!B23,IF('1 MIX DESIGN FORM'!$E$12="2 fine",'Data Extract'!D23,""))</f>
        <v>50</v>
      </c>
      <c r="G23" s="21" t="str">
        <f t="shared" si="0"/>
        <v>35-50</v>
      </c>
      <c r="H23" s="21">
        <v>7</v>
      </c>
      <c r="I23" s="50">
        <f t="shared" si="1"/>
        <v>28</v>
      </c>
      <c r="J23" s="50">
        <f t="shared" si="2"/>
        <v>42</v>
      </c>
      <c r="K23" s="21">
        <f>IFERROR(MROUND('1 MIX DESIGN FORM'!W11,0.1),"")</f>
        <v>35</v>
      </c>
      <c r="L23" s="34" t="s">
        <v>14</v>
      </c>
      <c r="M23" s="22" t="s">
        <v>94</v>
      </c>
      <c r="N23" s="22" t="s">
        <v>84</v>
      </c>
      <c r="O23" s="22" t="s">
        <v>96</v>
      </c>
      <c r="P23" s="22" t="s">
        <v>94</v>
      </c>
      <c r="Q23" s="22" t="s">
        <v>96</v>
      </c>
      <c r="R23" s="18" t="s">
        <v>99</v>
      </c>
      <c r="S23" s="9" t="str">
        <f>IF('1 MIX DESIGN FORM'!$E$12="UTACS",IF('1 MIX DESIGN FORM'!$K$21="s1",CONCATENATE(M23,"-",N23),IF('1 MIX DESIGN FORM'!$K$21="S2",CONCATENATE(O23,"-",P23),IF('1 MIX DESIGN FORM'!$K$21="S3",CONCATENATE(Q23,"-",R23),""))),"")</f>
        <v/>
      </c>
      <c r="T23" s="9">
        <v>4</v>
      </c>
      <c r="U23" s="71" t="b">
        <f>IF(T23="","",IF('1 MIX DESIGN FORM'!$E$12="UTACS",IF('1 MIX DESIGN FORM'!$K$22="S1",'Data Extract'!M23,IF('1 MIX DESIGN FORM'!$K$22="S2",'Data Extract'!O23,IF('1 MIX DESIGN FORM'!$K$21="S3",'Data Extract'!Q23,"")))))</f>
        <v>0</v>
      </c>
      <c r="V23" s="71" t="b">
        <f>IF(U23="","",IF('1 MIX DESIGN FORM'!$E$12="UTACS",IF('1 MIX DESIGN FORM'!$K$22="S1",'Data Extract'!N23,IF('1 MIX DESIGN FORM'!$K$22="S2",'Data Extract'!P23,IF('1 MIX DESIGN FORM'!$K$21="S3",'Data Extract'!R23,"")))))</f>
        <v>0</v>
      </c>
      <c r="W23" s="30">
        <f>IF('1 MIX DESIGN FORM'!$E$12="UTACS",'Data Extract'!U23,IF('1 MIX DESIGN FORM'!$E$12="2 Course",'Data Extract'!A23,IF('1 MIX DESIGN FORM'!$E$12="2 Fine",'Data Extract'!C23,"")))</f>
        <v>35</v>
      </c>
      <c r="X23" s="30">
        <f>IF('1 MIX DESIGN FORM'!$E$12="UTACS",'Data Extract'!V23,IF('1 MIX DESIGN FORM'!$E$12="2 Course",'Data Extract'!B23,IF('1 MIX DESIGN FORM'!$E$12="2 Fine",'Data Extract'!D23,"")))</f>
        <v>50</v>
      </c>
      <c r="Y23" s="30" t="str">
        <f t="shared" si="3"/>
        <v>35-50</v>
      </c>
    </row>
    <row r="24" spans="1:25" x14ac:dyDescent="0.3">
      <c r="A24" s="19">
        <v>23</v>
      </c>
      <c r="B24" s="19">
        <v>38</v>
      </c>
      <c r="C24" s="19">
        <v>30</v>
      </c>
      <c r="D24" s="19">
        <v>49</v>
      </c>
      <c r="E24" s="21">
        <f>IF('1 MIX DESIGN FORM'!$E$12="2 COURSE",'Data Extract'!A24,IF('1 MIX DESIGN FORM'!$E$12="2 FINE",'Data Extract'!C24,""))</f>
        <v>23</v>
      </c>
      <c r="F24" s="21">
        <f>IF('1 MIX DESIGN FORM'!$E$12="2 course",'Data Extract'!B24,IF('1 MIX DESIGN FORM'!$E$12="2 fine",'Data Extract'!D24,""))</f>
        <v>38</v>
      </c>
      <c r="G24" s="21" t="str">
        <f t="shared" si="0"/>
        <v>23-38</v>
      </c>
      <c r="H24" s="21">
        <v>4</v>
      </c>
      <c r="I24" s="50">
        <f t="shared" si="1"/>
        <v>24</v>
      </c>
      <c r="J24" s="50">
        <f t="shared" si="2"/>
        <v>32</v>
      </c>
      <c r="K24" s="21">
        <f>IFERROR(MROUND('1 MIX DESIGN FORM'!W12,0.1),"")</f>
        <v>28</v>
      </c>
      <c r="L24" s="34" t="s">
        <v>15</v>
      </c>
      <c r="M24" s="22" t="s">
        <v>81</v>
      </c>
      <c r="N24" s="22" t="s">
        <v>85</v>
      </c>
      <c r="O24" s="22" t="s">
        <v>81</v>
      </c>
      <c r="P24" s="22" t="s">
        <v>85</v>
      </c>
      <c r="Q24" s="22" t="s">
        <v>81</v>
      </c>
      <c r="R24" s="18" t="s">
        <v>85</v>
      </c>
      <c r="S24" s="9" t="str">
        <f>IF('1 MIX DESIGN FORM'!$E$12="UTACS",IF('1 MIX DESIGN FORM'!$K$21="s1",CONCATENATE(M24,"-",N24),IF('1 MIX DESIGN FORM'!$K$21="S2",CONCATENATE(O24,"-",P24),IF('1 MIX DESIGN FORM'!$K$21="S3",CONCATENATE(Q24,"-",R24),""))),"")</f>
        <v/>
      </c>
      <c r="T24" s="9">
        <v>4</v>
      </c>
      <c r="U24" s="71" t="b">
        <f>IF(T24="","",IF('1 MIX DESIGN FORM'!$E$12="UTACS",IF('1 MIX DESIGN FORM'!$K$22="S1",'Data Extract'!M24,IF('1 MIX DESIGN FORM'!$K$22="S2",'Data Extract'!O24,IF('1 MIX DESIGN FORM'!$K$21="S3",'Data Extract'!Q24,"")))))</f>
        <v>0</v>
      </c>
      <c r="V24" s="71" t="b">
        <f>IF(U24="","",IF('1 MIX DESIGN FORM'!$E$12="UTACS",IF('1 MIX DESIGN FORM'!$K$22="S1",'Data Extract'!N24,IF('1 MIX DESIGN FORM'!$K$22="S2",'Data Extract'!P24,IF('1 MIX DESIGN FORM'!$K$21="S3",'Data Extract'!R24,"")))))</f>
        <v>0</v>
      </c>
      <c r="W24" s="30">
        <f>IF('1 MIX DESIGN FORM'!$E$12="UTACS",'Data Extract'!U24,IF('1 MIX DESIGN FORM'!$E$12="2 Course",'Data Extract'!A24,IF('1 MIX DESIGN FORM'!$E$12="2 Fine",'Data Extract'!C24,"")))</f>
        <v>23</v>
      </c>
      <c r="X24" s="30">
        <f>IF('1 MIX DESIGN FORM'!$E$12="UTACS",'Data Extract'!V24,IF('1 MIX DESIGN FORM'!$E$12="2 Course",'Data Extract'!B24,IF('1 MIX DESIGN FORM'!$E$12="2 Fine",'Data Extract'!D24,"")))</f>
        <v>38</v>
      </c>
      <c r="Y24" s="30" t="str">
        <f t="shared" si="3"/>
        <v>23-38</v>
      </c>
    </row>
    <row r="25" spans="1:25" x14ac:dyDescent="0.3">
      <c r="A25" s="19"/>
      <c r="B25" s="19"/>
      <c r="C25" s="19"/>
      <c r="D25" s="19"/>
      <c r="E25" s="21">
        <f>IF('1 MIX DESIGN FORM'!$E$12="2 COURSE",'Data Extract'!A25,IF('1 MIX DESIGN FORM'!$E$12="2 FINE",'Data Extract'!C25,""))</f>
        <v>0</v>
      </c>
      <c r="F25" s="21">
        <f>IF('1 MIX DESIGN FORM'!$E$12="2 course",'Data Extract'!B25,IF('1 MIX DESIGN FORM'!$E$12="2 fine",'Data Extract'!D25,""))</f>
        <v>0</v>
      </c>
      <c r="G25" s="21"/>
      <c r="H25" s="21"/>
      <c r="I25" s="50" t="str">
        <f>IFERROR(MROUND(IF(H25="","",IF(K25="","",K25-H25)),0.1),"")</f>
        <v/>
      </c>
      <c r="J25" s="50" t="str">
        <f>IFERROR(MROUND(IF(K25="","",IF(H25="","",MIN(K25+H25,100))),0.1),"")</f>
        <v/>
      </c>
      <c r="K25" s="21">
        <f>IFERROR(MROUND('1 MIX DESIGN FORM'!W13,0.1),"")</f>
        <v>0</v>
      </c>
      <c r="L25" s="34" t="s">
        <v>75</v>
      </c>
      <c r="M25" s="22"/>
      <c r="N25" s="22"/>
      <c r="O25" s="22"/>
      <c r="P25" s="22"/>
      <c r="Q25" s="22"/>
      <c r="R25" s="18"/>
      <c r="S25" s="9" t="str">
        <f>IF('1 MIX DESIGN FORM'!$E$12="UTACS",IF('1 MIX DESIGN FORM'!$K$21="s1",CONCATENATE(M25,"-",N25),IF('1 MIX DESIGN FORM'!$K$21="S2",CONCATENATE(O25,"-",P25),IF('1 MIX DESIGN FORM'!$K$21="S3",CONCATENATE(Q25,"-",R25),""))),"")</f>
        <v/>
      </c>
      <c r="T25" s="9"/>
      <c r="U25" s="71" t="str">
        <f>IF(T25="","",IF('1 MIX DESIGN FORM'!$E$12="UTACS",IF('1 MIX DESIGN FORM'!$K$22="S1",'Data Extract'!M25,IF('1 MIX DESIGN FORM'!$K$22="S2",'Data Extract'!O25,IF('1 MIX DESIGN FORM'!$K$21="S3",'Data Extract'!Q25,"")))))</f>
        <v/>
      </c>
      <c r="V25" s="71" t="str">
        <f>IF(U25="","",IF('1 MIX DESIGN FORM'!$E$12="UTACS",IF('1 MIX DESIGN FORM'!$K$22="S1",'Data Extract'!N25,IF('1 MIX DESIGN FORM'!$K$22="S2",'Data Extract'!P25,IF('1 MIX DESIGN FORM'!$K$21="S3",'Data Extract'!R25,"")))))</f>
        <v/>
      </c>
      <c r="W25" s="30">
        <f>IF('1 MIX DESIGN FORM'!$E$12="UTACS",'Data Extract'!U25,IF('1 MIX DESIGN FORM'!$E$12="2 Course",'Data Extract'!A25,IF('1 MIX DESIGN FORM'!$E$12="2 Fine",'Data Extract'!C25,"")))</f>
        <v>0</v>
      </c>
      <c r="X25" s="30">
        <f>IF('1 MIX DESIGN FORM'!$E$12="UTACS",'Data Extract'!V25,IF('1 MIX DESIGN FORM'!$E$12="2 Course",'Data Extract'!B25,IF('1 MIX DESIGN FORM'!$E$12="2 Fine",'Data Extract'!D25,"")))</f>
        <v>0</v>
      </c>
      <c r="Y25" s="30" t="str">
        <f t="shared" si="3"/>
        <v/>
      </c>
    </row>
    <row r="26" spans="1:25" x14ac:dyDescent="0.3">
      <c r="A26" s="19"/>
      <c r="B26" s="19"/>
      <c r="C26" s="19"/>
      <c r="D26" s="19"/>
      <c r="E26" s="21">
        <f>IF('1 MIX DESIGN FORM'!$E$12="2 COURSE",'Data Extract'!A26,IF('1 MIX DESIGN FORM'!$E$12="2 FINE",'Data Extract'!C26,""))</f>
        <v>0</v>
      </c>
      <c r="F26" s="21">
        <f>IF('1 MIX DESIGN FORM'!$E$12="2 course",'Data Extract'!B26,IF('1 MIX DESIGN FORM'!$E$12="2 fine",'Data Extract'!D26,""))</f>
        <v>0</v>
      </c>
      <c r="G26" s="21"/>
      <c r="H26" s="21"/>
      <c r="I26" s="50" t="str">
        <f>IFERROR(MROUND(IF(H26="","",IF(K26="","",K26-H26)),0.1),"")</f>
        <v/>
      </c>
      <c r="J26" s="50" t="str">
        <f>IFERROR(MROUND(IF(K26="","",IF(H26="","",MIN(K26+H26,100))),0.1),"")</f>
        <v/>
      </c>
      <c r="K26" s="21">
        <f>IFERROR(MROUND('1 MIX DESIGN FORM'!W14,0.1),"")</f>
        <v>0</v>
      </c>
      <c r="L26" s="34" t="s">
        <v>16</v>
      </c>
      <c r="M26" s="22" t="s">
        <v>93</v>
      </c>
      <c r="N26" s="22" t="s">
        <v>86</v>
      </c>
      <c r="O26" s="22" t="s">
        <v>93</v>
      </c>
      <c r="P26" s="22" t="s">
        <v>95</v>
      </c>
      <c r="Q26" s="22" t="s">
        <v>93</v>
      </c>
      <c r="R26" s="18" t="s">
        <v>95</v>
      </c>
      <c r="S26" s="9" t="str">
        <f>IF('1 MIX DESIGN FORM'!$E$12="UTACS",IF('1 MIX DESIGN FORM'!$K$21="s1",CONCATENATE(M26,"-",N26),IF('1 MIX DESIGN FORM'!$K$21="S2",CONCATENATE(O26,"-",P26),IF('1 MIX DESIGN FORM'!$K$21="S3",CONCATENATE(Q26,"-",R26),""))),"")</f>
        <v/>
      </c>
      <c r="T26" s="9">
        <v>3</v>
      </c>
      <c r="U26" s="71" t="b">
        <f>IF(T26="","",IF('1 MIX DESIGN FORM'!$E$12="UTACS",IF('1 MIX DESIGN FORM'!$K$22="S1",'Data Extract'!M26,IF('1 MIX DESIGN FORM'!$K$22="S2",'Data Extract'!O26,IF('1 MIX DESIGN FORM'!$K$21="S3",'Data Extract'!Q26,"")))))</f>
        <v>0</v>
      </c>
      <c r="V26" s="71" t="b">
        <f>IF(U26="","",IF('1 MIX DESIGN FORM'!$E$12="UTACS",IF('1 MIX DESIGN FORM'!$K$22="S1",'Data Extract'!N26,IF('1 MIX DESIGN FORM'!$K$22="S2",'Data Extract'!P26,IF('1 MIX DESIGN FORM'!$K$21="S3",'Data Extract'!R26,"")))))</f>
        <v>0</v>
      </c>
      <c r="W26" s="30">
        <f>IF('1 MIX DESIGN FORM'!$E$12="UTACS",'Data Extract'!U26,IF('1 MIX DESIGN FORM'!$E$12="2 Course",'Data Extract'!A26,IF('1 MIX DESIGN FORM'!$E$12="2 Fine",'Data Extract'!C26,"")))</f>
        <v>0</v>
      </c>
      <c r="X26" s="30">
        <f>IF('1 MIX DESIGN FORM'!$E$12="UTACS",'Data Extract'!V26,IF('1 MIX DESIGN FORM'!$E$12="2 Course",'Data Extract'!B26,IF('1 MIX DESIGN FORM'!$E$12="2 Fine",'Data Extract'!D26,"")))</f>
        <v>0</v>
      </c>
      <c r="Y26" s="30" t="str">
        <f t="shared" si="3"/>
        <v/>
      </c>
    </row>
    <row r="27" spans="1:25" x14ac:dyDescent="0.3">
      <c r="A27" s="19"/>
      <c r="B27" s="19"/>
      <c r="C27" s="19"/>
      <c r="D27" s="19"/>
      <c r="E27" s="21">
        <f>IF('1 MIX DESIGN FORM'!$E$12="2 COURSE",'Data Extract'!A27,IF('1 MIX DESIGN FORM'!$E$12="2 FINE",'Data Extract'!C27,""))</f>
        <v>0</v>
      </c>
      <c r="F27" s="21">
        <f>IF('1 MIX DESIGN FORM'!$E$12="2 course",'Data Extract'!B27,IF('1 MIX DESIGN FORM'!$E$12="2 fine",'Data Extract'!D27,""))</f>
        <v>0</v>
      </c>
      <c r="G27" s="21"/>
      <c r="H27" s="21"/>
      <c r="I27" s="50" t="str">
        <f t="shared" si="1"/>
        <v/>
      </c>
      <c r="J27" s="50" t="str">
        <f t="shared" si="2"/>
        <v/>
      </c>
      <c r="K27" s="21">
        <f>IFERROR(MROUND('1 MIX DESIGN FORM'!W15,0.1),"")</f>
        <v>0</v>
      </c>
      <c r="L27" s="34" t="s">
        <v>17</v>
      </c>
      <c r="M27" s="22" t="s">
        <v>89</v>
      </c>
      <c r="N27" s="22" t="s">
        <v>87</v>
      </c>
      <c r="O27" s="22" t="s">
        <v>89</v>
      </c>
      <c r="P27" s="22" t="s">
        <v>87</v>
      </c>
      <c r="Q27" s="22" t="s">
        <v>89</v>
      </c>
      <c r="R27" s="18" t="s">
        <v>87</v>
      </c>
      <c r="S27" s="9" t="str">
        <f>IF('1 MIX DESIGN FORM'!$E$12="UTACS",IF('1 MIX DESIGN FORM'!$K$21="s1",CONCATENATE(M27,"-",N27),IF('1 MIX DESIGN FORM'!$K$21="S2",CONCATENATE(O27,"-",P27),IF('1 MIX DESIGN FORM'!$K$21="S3",CONCATENATE(Q27,"-",R27),""))),"")</f>
        <v/>
      </c>
      <c r="T27" s="9">
        <v>3</v>
      </c>
      <c r="U27" s="71" t="b">
        <f>IF(T27="","",IF('1 MIX DESIGN FORM'!$E$12="UTACS",IF('1 MIX DESIGN FORM'!$K$22="S1",'Data Extract'!M27,IF('1 MIX DESIGN FORM'!$K$22="S2",'Data Extract'!O27,IF('1 MIX DESIGN FORM'!$K$21="S3",'Data Extract'!Q27,"")))))</f>
        <v>0</v>
      </c>
      <c r="V27" s="71" t="b">
        <f>IF(U27="","",IF('1 MIX DESIGN FORM'!$E$12="UTACS",IF('1 MIX DESIGN FORM'!$K$22="S1",'Data Extract'!N27,IF('1 MIX DESIGN FORM'!$K$22="S2",'Data Extract'!P27,IF('1 MIX DESIGN FORM'!$K$21="S3",'Data Extract'!R27,"")))))</f>
        <v>0</v>
      </c>
      <c r="W27" s="30">
        <f>IF('1 MIX DESIGN FORM'!$E$12="UTACS",'Data Extract'!U27,IF('1 MIX DESIGN FORM'!$E$12="2 Course",'Data Extract'!A27,IF('1 MIX DESIGN FORM'!$E$12="2 Fine",'Data Extract'!C27,"")))</f>
        <v>0</v>
      </c>
      <c r="X27" s="30">
        <f>IF('1 MIX DESIGN FORM'!$E$12="UTACS",'Data Extract'!V27,IF('1 MIX DESIGN FORM'!$E$12="2 Course",'Data Extract'!B27,IF('1 MIX DESIGN FORM'!$E$12="2 Fine",'Data Extract'!D27,"")))</f>
        <v>0</v>
      </c>
      <c r="Y27" s="30" t="str">
        <f t="shared" si="3"/>
        <v/>
      </c>
    </row>
    <row r="28" spans="1:25" x14ac:dyDescent="0.3">
      <c r="A28" s="23" t="s">
        <v>112</v>
      </c>
      <c r="B28" s="23" t="s">
        <v>81</v>
      </c>
      <c r="C28" s="24" t="s">
        <v>82</v>
      </c>
      <c r="D28" s="24">
        <v>25</v>
      </c>
      <c r="E28" s="21" t="str">
        <f>IF('1 MIX DESIGN FORM'!$E$12="2 COURSE",'Data Extract'!A28,IF('1 MIX DESIGN FORM'!$E$12="2 FINE",'Data Extract'!C28,""))</f>
        <v>5</v>
      </c>
      <c r="F28" s="21" t="str">
        <f>IF('1 MIX DESIGN FORM'!$E$12="2 course",'Data Extract'!B28,IF('1 MIX DESIGN FORM'!$E$12="2 fine",'Data Extract'!D28,""))</f>
        <v>19</v>
      </c>
      <c r="G28" s="21" t="str">
        <f t="shared" si="0"/>
        <v>5-19</v>
      </c>
      <c r="H28" s="21">
        <v>4</v>
      </c>
      <c r="I28" s="50">
        <f>IFERROR(MROUND(IF(H28="","",IF(K28="","",K28-H28)),0.1),"")</f>
        <v>12</v>
      </c>
      <c r="J28" s="50">
        <f>IFERROR(MROUND(IF(K28="","",IF(H28="","",MIN(K28+H28,100))),0.1),"")</f>
        <v>20</v>
      </c>
      <c r="K28" s="21">
        <f>IFERROR(MROUND('1 MIX DESIGN FORM'!W16,0.1),"")</f>
        <v>16</v>
      </c>
      <c r="L28" s="34" t="s">
        <v>18</v>
      </c>
      <c r="M28" s="22" t="s">
        <v>92</v>
      </c>
      <c r="N28" s="22" t="s">
        <v>88</v>
      </c>
      <c r="O28" s="22" t="s">
        <v>92</v>
      </c>
      <c r="P28" s="22" t="s">
        <v>88</v>
      </c>
      <c r="Q28" s="22" t="s">
        <v>92</v>
      </c>
      <c r="R28" s="18" t="s">
        <v>88</v>
      </c>
      <c r="S28" s="9" t="str">
        <f>IF('1 MIX DESIGN FORM'!$E$12="UTACS",IF('1 MIX DESIGN FORM'!$K$21="s1",CONCATENATE(M28,"-",N28),IF('1 MIX DESIGN FORM'!$K$21="S2",CONCATENATE(O28,"-",P28),IF('1 MIX DESIGN FORM'!$K$21="S3",CONCATENATE(Q28,"-",R28),""))),"")</f>
        <v/>
      </c>
      <c r="T28" s="9">
        <v>3</v>
      </c>
      <c r="U28" s="71" t="b">
        <f>IF(T28="","",IF('1 MIX DESIGN FORM'!$E$12="UTACS",IF('1 MIX DESIGN FORM'!$K$22="S1",'Data Extract'!M28,IF('1 MIX DESIGN FORM'!$K$22="S2",'Data Extract'!O28,IF('1 MIX DESIGN FORM'!$K$21="S3",'Data Extract'!Q28,"")))))</f>
        <v>0</v>
      </c>
      <c r="V28" s="71" t="b">
        <f>IF(U28="","",IF('1 MIX DESIGN FORM'!$E$12="UTACS",IF('1 MIX DESIGN FORM'!$K$22="S1",'Data Extract'!N28,IF('1 MIX DESIGN FORM'!$K$22="S2",'Data Extract'!P28,IF('1 MIX DESIGN FORM'!$K$21="S3",'Data Extract'!R28,"")))))</f>
        <v>0</v>
      </c>
      <c r="W28" s="30" t="str">
        <f>IF('1 MIX DESIGN FORM'!$E$12="UTACS",'Data Extract'!U28,IF('1 MIX DESIGN FORM'!$E$12="2 Course",'Data Extract'!A28,IF('1 MIX DESIGN FORM'!$E$12="2 Fine",'Data Extract'!C28,"")))</f>
        <v>5</v>
      </c>
      <c r="X28" s="30" t="str">
        <f>IF('1 MIX DESIGN FORM'!$E$12="UTACS",'Data Extract'!V28,IF('1 MIX DESIGN FORM'!$E$12="2 Course",'Data Extract'!B28,IF('1 MIX DESIGN FORM'!$E$12="2 Fine",'Data Extract'!D28,"")))</f>
        <v>19</v>
      </c>
      <c r="Y28" s="30" t="str">
        <f t="shared" si="3"/>
        <v>5-19</v>
      </c>
    </row>
    <row r="29" spans="1:25" x14ac:dyDescent="0.3">
      <c r="A29" s="19"/>
      <c r="B29" s="19"/>
      <c r="C29" s="19"/>
      <c r="D29" s="19"/>
      <c r="E29" s="21">
        <f>IF('1 MIX DESIGN FORM'!$E$12="2 COURSE",'Data Extract'!A29,IF('1 MIX DESIGN FORM'!$E$12="2 FINE",'Data Extract'!C29,""))</f>
        <v>0</v>
      </c>
      <c r="F29" s="21">
        <f>IF('1 MIX DESIGN FORM'!$E$12="2 course",'Data Extract'!B29,IF('1 MIX DESIGN FORM'!$E$12="2 fine",'Data Extract'!D29,""))</f>
        <v>0</v>
      </c>
      <c r="G29" s="21"/>
      <c r="H29" s="21"/>
      <c r="I29" s="50" t="str">
        <f t="shared" si="1"/>
        <v/>
      </c>
      <c r="J29" s="50" t="str">
        <f t="shared" si="2"/>
        <v/>
      </c>
      <c r="K29" s="21">
        <f>IFERROR(MROUND('1 MIX DESIGN FORM'!W17,0.1),"")</f>
        <v>0</v>
      </c>
      <c r="L29" s="34" t="s">
        <v>19</v>
      </c>
      <c r="M29" s="22" t="s">
        <v>91</v>
      </c>
      <c r="N29" s="22" t="s">
        <v>89</v>
      </c>
      <c r="O29" s="22" t="s">
        <v>91</v>
      </c>
      <c r="P29" s="22" t="s">
        <v>89</v>
      </c>
      <c r="Q29" s="22" t="s">
        <v>91</v>
      </c>
      <c r="R29" s="18" t="s">
        <v>89</v>
      </c>
      <c r="S29" s="9" t="str">
        <f>IF('1 MIX DESIGN FORM'!$E$12="UTACS",IF('1 MIX DESIGN FORM'!$K$21="s1",CONCATENATE(M29,"-",N29),IF('1 MIX DESIGN FORM'!$K$21="S2",CONCATENATE(O29,"-",P29),IF('1 MIX DESIGN FORM'!$K$21="S3",CONCATENATE(Q29,"-",R29),""))),"")</f>
        <v/>
      </c>
      <c r="T29" s="9">
        <v>3</v>
      </c>
      <c r="U29" s="71" t="b">
        <f>IF(T29="","",IF('1 MIX DESIGN FORM'!$E$12="UTACS",IF('1 MIX DESIGN FORM'!$K$22="S1",'Data Extract'!M29,IF('1 MIX DESIGN FORM'!$K$22="S2",'Data Extract'!O29,IF('1 MIX DESIGN FORM'!$K$21="S3",'Data Extract'!Q29,"")))))</f>
        <v>0</v>
      </c>
      <c r="V29" s="71" t="b">
        <f>IF(U29="","",IF('1 MIX DESIGN FORM'!$E$12="UTACS",IF('1 MIX DESIGN FORM'!$K$22="S1",'Data Extract'!N29,IF('1 MIX DESIGN FORM'!$K$22="S2",'Data Extract'!P29,IF('1 MIX DESIGN FORM'!$K$21="S3",'Data Extract'!R29,"")))))</f>
        <v>0</v>
      </c>
      <c r="W29" s="30">
        <f>IF('1 MIX DESIGN FORM'!$E$12="UTACS",'Data Extract'!U29,IF('1 MIX DESIGN FORM'!$E$12="2 Course",'Data Extract'!A29,IF('1 MIX DESIGN FORM'!$E$12="2 Fine",'Data Extract'!C29,"")))</f>
        <v>0</v>
      </c>
      <c r="X29" s="30">
        <f>IF('1 MIX DESIGN FORM'!$E$12="UTACS",'Data Extract'!V29,IF('1 MIX DESIGN FORM'!$E$12="2 Course",'Data Extract'!B29,IF('1 MIX DESIGN FORM'!$E$12="2 Fine",'Data Extract'!D29,"")))</f>
        <v>0</v>
      </c>
      <c r="Y29" s="30" t="str">
        <f t="shared" si="3"/>
        <v/>
      </c>
    </row>
    <row r="30" spans="1:25" x14ac:dyDescent="0.3">
      <c r="A30" s="23" t="s">
        <v>83</v>
      </c>
      <c r="B30" s="23" t="s">
        <v>82</v>
      </c>
      <c r="C30" s="24" t="s">
        <v>83</v>
      </c>
      <c r="D30" s="24">
        <v>9</v>
      </c>
      <c r="E30" s="21" t="str">
        <f>IF('1 MIX DESIGN FORM'!$E$12="2 COURSE",'Data Extract'!A30,IF('1 MIX DESIGN FORM'!$E$12="2 FINE",'Data Extract'!C30,""))</f>
        <v>2</v>
      </c>
      <c r="F30" s="21" t="str">
        <f>IF('1 MIX DESIGN FORM'!$E$12="2 course",'Data Extract'!B30,IF('1 MIX DESIGN FORM'!$E$12="2 fine",'Data Extract'!D30,""))</f>
        <v>7</v>
      </c>
      <c r="G30" s="21" t="str">
        <f t="shared" si="0"/>
        <v>2-7</v>
      </c>
      <c r="H30" s="21">
        <v>2</v>
      </c>
      <c r="I30" s="50">
        <f>IFERROR(MROUND(IF(H30="","",IF(K30="","",K30-H30)),0.1),"")</f>
        <v>6</v>
      </c>
      <c r="J30" s="50">
        <f>IFERROR(MROUND(IF(K30="","",IF(H30="","",MIN(K30+H30,100))),0.1),"")</f>
        <v>10</v>
      </c>
      <c r="K30" s="21">
        <f>IFERROR(MROUND('1 MIX DESIGN FORM'!W18,0.1),"")</f>
        <v>8</v>
      </c>
      <c r="L30" s="34" t="s">
        <v>20</v>
      </c>
      <c r="M30" s="22" t="s">
        <v>90</v>
      </c>
      <c r="N30" s="22" t="s">
        <v>82</v>
      </c>
      <c r="O30" s="22" t="s">
        <v>90</v>
      </c>
      <c r="P30" s="22" t="s">
        <v>82</v>
      </c>
      <c r="Q30" s="22" t="s">
        <v>90</v>
      </c>
      <c r="R30" s="18" t="s">
        <v>82</v>
      </c>
      <c r="S30" s="9" t="str">
        <f>IF('1 MIX DESIGN FORM'!$E$12="UTACS",IF('1 MIX DESIGN FORM'!$K$21="s1",CONCATENATE(M30,"-",N30),IF('1 MIX DESIGN FORM'!$K$21="S2",CONCATENATE(O30,"-",P30),IF('1 MIX DESIGN FORM'!$K$21="S3",CONCATENATE(Q30,"-",R30),""))),"")</f>
        <v/>
      </c>
      <c r="T30" s="9">
        <v>2</v>
      </c>
      <c r="U30" s="71" t="b">
        <f>IF(T30="","",IF('1 MIX DESIGN FORM'!$E$12="UTACS",IF('1 MIX DESIGN FORM'!$K$22="S1",'Data Extract'!M30,IF('1 MIX DESIGN FORM'!$K$22="S2",'Data Extract'!O30,IF('1 MIX DESIGN FORM'!$K$21="S3",'Data Extract'!Q30,"")))))</f>
        <v>0</v>
      </c>
      <c r="V30" s="71" t="b">
        <f>IF(U30="","",IF('1 MIX DESIGN FORM'!$E$12="UTACS",IF('1 MIX DESIGN FORM'!$K$22="S1",'Data Extract'!N30,IF('1 MIX DESIGN FORM'!$K$22="S2",'Data Extract'!P30,IF('1 MIX DESIGN FORM'!$K$21="S3",'Data Extract'!R30,"")))))</f>
        <v>0</v>
      </c>
      <c r="W30" s="30" t="str">
        <f>IF('1 MIX DESIGN FORM'!$E$12="UTACS",'Data Extract'!U30,IF('1 MIX DESIGN FORM'!$E$12="2 Course",'Data Extract'!A30,IF('1 MIX DESIGN FORM'!$E$12="2 Fine",'Data Extract'!C30,"")))</f>
        <v>2</v>
      </c>
      <c r="X30" s="30" t="str">
        <f>IF('1 MIX DESIGN FORM'!$E$12="UTACS",'Data Extract'!V30,IF('1 MIX DESIGN FORM'!$E$12="2 Course",'Data Extract'!B30,IF('1 MIX DESIGN FORM'!$E$12="2 Fine",'Data Extract'!D30,"")))</f>
        <v>7</v>
      </c>
      <c r="Y30" s="30" t="str">
        <f t="shared" si="3"/>
        <v>2-7</v>
      </c>
    </row>
    <row r="31" spans="1:25" x14ac:dyDescent="0.3">
      <c r="F31" s="8"/>
      <c r="G31" s="8"/>
      <c r="H31" s="8"/>
      <c r="K31" s="21"/>
      <c r="T31"/>
      <c r="U31" s="64"/>
      <c r="W31" s="11" t="str">
        <f>IF('1 MIX DESIGN FORM'!E27="UTACS",'Data Extract'!U31,IF('1 MIX DESIGN FORM'!E27="2 Course",'Data Extract'!A31,IF('1 MIX DESIGN FORM'!$E$12="2 Fine",'Data Extract'!C31,"")))</f>
        <v/>
      </c>
      <c r="X31" s="11"/>
      <c r="Y31" s="16"/>
    </row>
    <row r="32" spans="1:25" x14ac:dyDescent="0.3">
      <c r="V32" s="68"/>
    </row>
  </sheetData>
  <mergeCells count="13">
    <mergeCell ref="W16:Y16"/>
    <mergeCell ref="L16:L17"/>
    <mergeCell ref="M16:R16"/>
    <mergeCell ref="H16:J16"/>
    <mergeCell ref="E17:G17"/>
    <mergeCell ref="A16:G16"/>
    <mergeCell ref="K16:K17"/>
    <mergeCell ref="S16:V16"/>
    <mergeCell ref="A17:B17"/>
    <mergeCell ref="C17:D17"/>
    <mergeCell ref="M17:N17"/>
    <mergeCell ref="O17:P17"/>
    <mergeCell ref="Q17:R1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9AB91-28B0-4077-B199-7F26DD24CE4C}">
  <dimension ref="A1:BK2"/>
  <sheetViews>
    <sheetView topLeftCell="AI1" workbookViewId="0">
      <selection activeCell="AR30" sqref="AR30"/>
    </sheetView>
  </sheetViews>
  <sheetFormatPr defaultRowHeight="14.4" x14ac:dyDescent="0.3"/>
  <cols>
    <col min="1" max="1" width="2.88671875" bestFit="1" customWidth="1"/>
    <col min="2" max="3" width="11.88671875" bestFit="1" customWidth="1"/>
    <col min="4" max="4" width="8.44140625" bestFit="1" customWidth="1"/>
    <col min="5" max="5" width="18.33203125" customWidth="1"/>
    <col min="6" max="7" width="19.109375" bestFit="1" customWidth="1"/>
    <col min="8" max="8" width="4.6640625" bestFit="1" customWidth="1"/>
    <col min="9" max="9" width="14.5546875" bestFit="1" customWidth="1"/>
    <col min="10" max="10" width="11.109375" bestFit="1" customWidth="1"/>
    <col min="11" max="11" width="12.88671875" bestFit="1" customWidth="1"/>
    <col min="12" max="12" width="4.6640625" bestFit="1" customWidth="1"/>
    <col min="13" max="13" width="6.33203125" bestFit="1" customWidth="1"/>
    <col min="14" max="15" width="15.33203125" bestFit="1" customWidth="1"/>
    <col min="16" max="16" width="11.33203125" bestFit="1" customWidth="1"/>
    <col min="17" max="17" width="4" bestFit="1" customWidth="1"/>
    <col min="21" max="21" width="13.44140625" bestFit="1" customWidth="1"/>
    <col min="22" max="22" width="19.109375" bestFit="1" customWidth="1"/>
    <col min="27" max="27" width="9.88671875" bestFit="1" customWidth="1"/>
    <col min="28" max="28" width="7.88671875" bestFit="1" customWidth="1"/>
    <col min="29" max="29" width="8.109375" bestFit="1" customWidth="1"/>
    <col min="31" max="31" width="9.33203125" bestFit="1" customWidth="1"/>
    <col min="32" max="32" width="9" bestFit="1" customWidth="1"/>
    <col min="33" max="33" width="9.33203125" bestFit="1" customWidth="1"/>
    <col min="34" max="35" width="9.6640625" bestFit="1" customWidth="1"/>
    <col min="36" max="36" width="9.33203125" bestFit="1" customWidth="1"/>
    <col min="41" max="41" width="11.33203125" bestFit="1" customWidth="1"/>
    <col min="42" max="42" width="12.109375" bestFit="1" customWidth="1"/>
    <col min="44" max="44" width="14.6640625" bestFit="1" customWidth="1"/>
    <col min="45" max="45" width="11.33203125" bestFit="1" customWidth="1"/>
    <col min="50" max="50" width="13.6640625" bestFit="1" customWidth="1"/>
    <col min="51" max="51" width="21.44140625" bestFit="1" customWidth="1"/>
    <col min="52" max="52" width="11.5546875" bestFit="1" customWidth="1"/>
    <col min="54" max="54" width="24.44140625" bestFit="1" customWidth="1"/>
    <col min="56" max="56" width="21.88671875" bestFit="1" customWidth="1"/>
    <col min="57" max="57" width="15.44140625" bestFit="1" customWidth="1"/>
    <col min="58" max="58" width="11" bestFit="1" customWidth="1"/>
    <col min="60" max="60" width="14.33203125" bestFit="1" customWidth="1"/>
    <col min="61" max="61" width="14.5546875" bestFit="1" customWidth="1"/>
    <col min="62" max="62" width="11.6640625" bestFit="1" customWidth="1"/>
    <col min="63" max="63" width="9.6640625" bestFit="1" customWidth="1"/>
  </cols>
  <sheetData>
    <row r="1" spans="1:63" s="13" customFormat="1" x14ac:dyDescent="0.3">
      <c r="A1" s="56" t="s">
        <v>223</v>
      </c>
      <c r="B1" s="56" t="s">
        <v>268</v>
      </c>
      <c r="C1" s="56" t="s">
        <v>269</v>
      </c>
      <c r="D1" s="56" t="s">
        <v>270</v>
      </c>
      <c r="E1" s="56" t="s">
        <v>147</v>
      </c>
      <c r="F1" s="56" t="s">
        <v>271</v>
      </c>
      <c r="G1" s="56" t="s">
        <v>272</v>
      </c>
      <c r="H1" s="56" t="s">
        <v>260</v>
      </c>
      <c r="I1" s="56" t="s">
        <v>261</v>
      </c>
      <c r="J1" s="56" t="s">
        <v>262</v>
      </c>
      <c r="K1" s="56" t="s">
        <v>14</v>
      </c>
      <c r="L1" s="56" t="s">
        <v>15</v>
      </c>
      <c r="M1" s="56" t="s">
        <v>75</v>
      </c>
      <c r="N1" s="56" t="s">
        <v>16</v>
      </c>
      <c r="O1" s="56" t="s">
        <v>77</v>
      </c>
      <c r="P1" s="56" t="s">
        <v>17</v>
      </c>
      <c r="Q1" s="56" t="s">
        <v>18</v>
      </c>
      <c r="R1" s="56" t="s">
        <v>229</v>
      </c>
      <c r="S1" s="56" t="s">
        <v>20</v>
      </c>
      <c r="T1" s="56" t="s">
        <v>73</v>
      </c>
      <c r="U1" s="56" t="s">
        <v>273</v>
      </c>
      <c r="V1" s="56" t="s">
        <v>274</v>
      </c>
      <c r="W1" s="56" t="s">
        <v>275</v>
      </c>
      <c r="X1" s="56" t="s">
        <v>276</v>
      </c>
      <c r="Y1" s="56" t="s">
        <v>277</v>
      </c>
      <c r="Z1" s="56" t="s">
        <v>278</v>
      </c>
      <c r="AA1" s="56" t="s">
        <v>279</v>
      </c>
      <c r="AB1" s="56" t="s">
        <v>280</v>
      </c>
      <c r="AC1" s="56" t="s">
        <v>281</v>
      </c>
      <c r="AD1" s="56" t="s">
        <v>282</v>
      </c>
      <c r="AE1" s="56" t="s">
        <v>283</v>
      </c>
      <c r="AF1" s="56" t="s">
        <v>284</v>
      </c>
      <c r="AG1" s="56" t="s">
        <v>285</v>
      </c>
      <c r="AH1" s="56" t="s">
        <v>286</v>
      </c>
      <c r="AI1" s="56" t="s">
        <v>287</v>
      </c>
      <c r="AJ1" s="56" t="s">
        <v>288</v>
      </c>
      <c r="AK1" s="56" t="s">
        <v>289</v>
      </c>
      <c r="AL1" s="56" t="s">
        <v>290</v>
      </c>
      <c r="AM1" s="56" t="s">
        <v>291</v>
      </c>
      <c r="AN1" s="56" t="s">
        <v>292</v>
      </c>
      <c r="AO1" s="56" t="s">
        <v>293</v>
      </c>
      <c r="AP1" s="56" t="s">
        <v>294</v>
      </c>
      <c r="AQ1" s="56" t="s">
        <v>295</v>
      </c>
      <c r="AR1" s="56" t="s">
        <v>296</v>
      </c>
      <c r="AS1" s="56" t="s">
        <v>297</v>
      </c>
      <c r="AT1" s="56" t="s">
        <v>227</v>
      </c>
      <c r="AU1" s="56" t="s">
        <v>298</v>
      </c>
      <c r="AV1" s="56" t="s">
        <v>299</v>
      </c>
      <c r="AW1" s="56" t="s">
        <v>300</v>
      </c>
      <c r="AX1" s="56" t="s">
        <v>301</v>
      </c>
      <c r="AY1" s="56" t="s">
        <v>302</v>
      </c>
      <c r="AZ1" s="56" t="s">
        <v>303</v>
      </c>
      <c r="BA1" s="56" t="s">
        <v>304</v>
      </c>
      <c r="BB1" s="56" t="s">
        <v>305</v>
      </c>
      <c r="BC1" s="56" t="s">
        <v>306</v>
      </c>
      <c r="BD1" s="56" t="s">
        <v>307</v>
      </c>
      <c r="BE1" s="56" t="s">
        <v>308</v>
      </c>
      <c r="BF1" s="56" t="s">
        <v>309</v>
      </c>
      <c r="BG1" s="56" t="s">
        <v>310</v>
      </c>
      <c r="BH1" s="56" t="s">
        <v>311</v>
      </c>
      <c r="BI1" s="56" t="s">
        <v>312</v>
      </c>
      <c r="BJ1" s="56" t="s">
        <v>313</v>
      </c>
      <c r="BK1" s="56" t="s">
        <v>314</v>
      </c>
    </row>
    <row r="2" spans="1:63" s="57" customFormat="1" x14ac:dyDescent="0.3">
      <c r="C2" s="58">
        <f>'1 MIX DESIGN FORM'!C40</f>
        <v>0</v>
      </c>
      <c r="D2" s="58" t="str">
        <f>'1 MIX DESIGN FORM'!E12</f>
        <v>2 COURSE</v>
      </c>
      <c r="E2" s="58" t="str">
        <f>'1 MIX DESIGN FORM'!K22</f>
        <v>S1</v>
      </c>
      <c r="F2" s="58" t="str">
        <f>'1 MIX DESIGN FORM'!K12</f>
        <v>HMA</v>
      </c>
      <c r="G2" s="58">
        <f>'1 MIX DESIGN FORM'!C16</f>
        <v>99</v>
      </c>
      <c r="H2" s="59">
        <f>'1 MIX DESIGN FORM'!C17</f>
        <v>97</v>
      </c>
      <c r="I2" s="57">
        <f>'1 MIX DESIGN FORM'!C18</f>
        <v>69</v>
      </c>
      <c r="J2" s="57">
        <f>'1 MIX DESIGN FORM'!C19</f>
        <v>56</v>
      </c>
      <c r="K2" s="57">
        <f>'1 MIX DESIGN FORM'!C20</f>
        <v>35</v>
      </c>
      <c r="L2" s="57">
        <f>'1 MIX DESIGN FORM'!C21</f>
        <v>28</v>
      </c>
      <c r="M2" s="57">
        <f>'1 MIX DESIGN FORM'!C22</f>
        <v>0</v>
      </c>
      <c r="N2" s="57">
        <f>'1 MIX DESIGN FORM'!C23</f>
        <v>0</v>
      </c>
      <c r="P2" s="57">
        <f>'1 MIX DESIGN FORM'!C24</f>
        <v>0</v>
      </c>
      <c r="Q2" s="57">
        <f>'1 MIX DESIGN FORM'!C26</f>
        <v>16</v>
      </c>
      <c r="R2" s="57">
        <f>'1 MIX DESIGN FORM'!C27</f>
        <v>0</v>
      </c>
      <c r="S2" s="57">
        <f>'1 MIX DESIGN FORM'!C28</f>
        <v>8</v>
      </c>
      <c r="T2" s="57">
        <f>'1 MIX DESIGN FORM'!I7</f>
        <v>0</v>
      </c>
      <c r="U2" s="57">
        <f>'1 MIX DESIGN FORM'!I6</f>
        <v>0</v>
      </c>
      <c r="V2" s="60">
        <f>'Data Extract'!W19</f>
        <v>100</v>
      </c>
      <c r="W2" s="60">
        <f>'Data Extract'!X19</f>
        <v>100</v>
      </c>
      <c r="X2" s="57">
        <f>'Data Extract'!W20</f>
        <v>84</v>
      </c>
      <c r="Y2" s="57">
        <f>'Data Extract'!X20</f>
        <v>97</v>
      </c>
      <c r="Z2" s="57">
        <f>'Data Extract'!W21</f>
        <v>66</v>
      </c>
      <c r="AA2" s="57">
        <f>'Data Extract'!X21</f>
        <v>82</v>
      </c>
      <c r="AB2" s="57">
        <f>'Data Extract'!W22</f>
        <v>56</v>
      </c>
      <c r="AC2" s="57">
        <f>'Data Extract'!X22</f>
        <v>72</v>
      </c>
      <c r="AD2" s="57">
        <f>'Data Extract'!W23</f>
        <v>35</v>
      </c>
      <c r="AE2" s="57">
        <f>'Data Extract'!X23</f>
        <v>50</v>
      </c>
      <c r="AF2" s="57">
        <f>'Data Extract'!W24</f>
        <v>23</v>
      </c>
      <c r="AG2" s="57">
        <f>'Data Extract'!X24</f>
        <v>38</v>
      </c>
      <c r="AH2" s="57">
        <f>'Data Extract'!W26</f>
        <v>0</v>
      </c>
      <c r="AI2" s="57">
        <f>'Data Extract'!X26</f>
        <v>0</v>
      </c>
      <c r="AJ2" s="57">
        <f>'Data Extract'!W27</f>
        <v>0</v>
      </c>
      <c r="AK2" s="57">
        <f>'Data Extract'!X27</f>
        <v>0</v>
      </c>
      <c r="AL2" s="57" t="str">
        <f>'Data Extract'!W28</f>
        <v>5</v>
      </c>
      <c r="AM2" s="57" t="str">
        <f>'Data Extract'!X28</f>
        <v>19</v>
      </c>
      <c r="AN2" s="57" t="str">
        <f>'Data Extract'!W30</f>
        <v>2</v>
      </c>
      <c r="AO2" s="57" t="str">
        <f>'Data Extract'!X30</f>
        <v>7</v>
      </c>
      <c r="AQ2" s="57">
        <f>'1 MIX DESIGN FORM'!D30</f>
        <v>0</v>
      </c>
      <c r="AR2" s="57">
        <f>'1 MIX DESIGN FORM'!D32</f>
        <v>0</v>
      </c>
      <c r="AT2" s="57" cm="1">
        <f t="array" ref="AT2">'1 MIX DESIGN FORM'!K23:K23</f>
        <v>0</v>
      </c>
      <c r="AU2" s="57">
        <f>'1 MIX DESIGN FORM'!K35</f>
        <v>0</v>
      </c>
      <c r="AV2" s="57">
        <f>'1 MIX DESIGN FORM'!D34</f>
        <v>0</v>
      </c>
      <c r="AW2" s="57">
        <f>'1 MIX DESIGN FORM'!K32</f>
        <v>0</v>
      </c>
      <c r="AX2" s="57">
        <f>'1 MIX DESIGN FORM'!I8</f>
        <v>0</v>
      </c>
      <c r="AY2" s="57">
        <f>'2 MARSHALL + OPT OIL'!N48</f>
        <v>0</v>
      </c>
      <c r="BA2" s="57">
        <f>'1 MIX DESIGN FORM'!K33</f>
        <v>0</v>
      </c>
      <c r="BB2" s="57">
        <f>'2 MARSHALL + OPT OIL'!N47</f>
        <v>0</v>
      </c>
      <c r="BC2" s="57">
        <f>'2 MARSHALL + OPT OIL'!N34</f>
        <v>0</v>
      </c>
      <c r="BD2" s="57">
        <f>'2 MARSHALL + OPT OIL'!N49</f>
        <v>0</v>
      </c>
      <c r="BE2" s="57">
        <f>'2 MARSHALL + OPT OIL'!N46</f>
        <v>0</v>
      </c>
      <c r="BF2" s="57">
        <f>'2 MARSHALL + OPT OIL'!N44</f>
        <v>0</v>
      </c>
      <c r="BJ2" s="57">
        <f>'1 MIX DESIGN FORM'!K26</f>
        <v>0</v>
      </c>
      <c r="BK2" s="57" t="str">
        <f>IF('1 MIX DESIGN FORM'!K21&gt;0,"TRUE","FALSE")</f>
        <v>TRUE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M E A A B Q S w M E F A A C A A g A i W w s V d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I l s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J b C x V A 9 1 G 1 U 8 B A A A n A w A A E w A c A E Z v c m 1 1 b G F z L 1 N l Y 3 R p b 2 4 x L m 0 g o h g A K K A U A A A A A A A A A A A A A A A A A A A A A A A A A A A A z Z J d a 8 I w F I b v C / 0 P I d 4 0 U K p V J 4 J 4 s + J A 2 H a h Y 7 s Q G b G e 2 W I + J E m d U v r f l 7 b 7 c v E H L D c h z 0 n e 8 5 5 z o i E 1 u R R o 2 e 7 x x P d 8 T 2 d U w R Y 9 0 Q 2 D G E 0 R A + N 7 y K 6 l L F Q K l s x O K b A o K Z Q C Y V 6 k 2 m + k 3 A e k X D 1 S D l P c v s T r a p V I Y e y V d d g K d H C S U b G r x c 8 H w F a p u R o 9 K S r 0 m 1 Q 8 k a z g o g 7 q o M 0 W l i W O M c Y h m g s z G k Z 1 r A p R i Q f d Y Y O N B Y i K c w P j b t + F g + 7 Y h Z 2 h Q 8 Y O i U c O G v Q c d O O i u O e y / i W r i O / l 4 m p f f k + h 8 9 l N F P Q J / g / D 0 D k c 4 a s Q U f A N q K Y + T k / u k H g u L m F F v r M v g M u j z X 7 L q N i j h X z X P x 6 W w O y P r F n w x 2 a I g K Y Z E t K g + 1 y b a K 5 n / G D O Q X N o J R + o S b N c 7 O Y G u A 4 W k E q 1 j e 5 y Y N t n y g p b z C u p v V k p U T B W E X I x i S u 2 J h 9 Q S w E C L Q A U A A I A C A C J b C x V 2 F 6 J 0 6 I A A A D 2 A A A A E g A A A A A A A A A A A A A A A A A A A A A A Q 2 9 u Z m l n L 1 B h Y 2 t h Z 2 U u e G 1 s U E s B A i 0 A F A A C A A g A i W w s V Q / K 6 a u k A A A A 6 Q A A A B M A A A A A A A A A A A A A A A A A 7 g A A A F t D b 2 5 0 Z W 5 0 X 1 R 5 c G V z X S 5 4 b W x Q S w E C L Q A U A A I A C A C J b C x V A 9 1 G 1 U 8 B A A A n A w A A E w A A A A A A A A A A A A A A A A D f A Q A A R m 9 y b X V s Y X M v U 2 V j d G l v b j E u b V B L B Q Y A A A A A A w A D A M I A A A B 7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l F Q A A A A A A A E M V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4 L T I y V D I w O j M x O j A y L j I 2 N j Y w N T B a I i A v P j x F b n R y e S B U e X B l P S J G a W x s Q 2 9 s d W 1 u V H l w Z X M i I F Z h b H V l P S J z Q X d B Q U F B Q U F B Q U F B Q U F B P S I g L z 4 8 R W 5 0 c n k g V H l w Z T 0 i R m l s b E N v b H V t b k 5 h b W V z I i B W Y W x 1 Z T 0 i c 1 s m c X V v d D s x X C Z x d W 9 0 O y Z x d W 9 0 O y w m c X V v d D s z L z R c J n F 1 b 3 Q 7 J n F 1 b 3 Q 7 L C Z x d W 9 0 O z E v M l w m c X V v d D s m c X V v d D s s J n F 1 b 3 Q 7 M y 8 4 X C Z x d W 9 0 O y Z x d W 9 0 O y w m c X V v d D s j N C Z x d W 9 0 O y w m c X V v d D s j O C Z x d W 9 0 O y w m c X V v d D s j M T Y m c X V v d D s s J n F 1 b 3 Q 7 I z M w J n F 1 b 3 Q 7 L C Z x d W 9 0 O y M 1 M C Z x d W 9 0 O y w m c X V v d D s j M T A w J n F 1 b 3 Q 7 L C Z x d W 9 0 O y M y M D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z F c J n F 1 b 3 Q 7 L D B 9 J n F 1 b 3 Q 7 L C Z x d W 9 0 O 1 N l Y 3 R p b 2 4 x L 1 R h Y m x l M S 9 B d X R v U m V t b 3 Z l Z E N v b H V t b n M x L n s z L z R c J n F 1 b 3 Q 7 L D F 9 J n F 1 b 3 Q 7 L C Z x d W 9 0 O 1 N l Y 3 R p b 2 4 x L 1 R h Y m x l M S 9 B d X R v U m V t b 3 Z l Z E N v b H V t b n M x L n s x L z J c J n F 1 b 3 Q 7 L D J 9 J n F 1 b 3 Q 7 L C Z x d W 9 0 O 1 N l Y 3 R p b 2 4 x L 1 R h Y m x l M S 9 B d X R v U m V t b 3 Z l Z E N v b H V t b n M x L n s z L z h c J n F 1 b 3 Q 7 L D N 9 J n F 1 b 3 Q 7 L C Z x d W 9 0 O 1 N l Y 3 R p b 2 4 x L 1 R h Y m x l M S 9 B d X R v U m V t b 3 Z l Z E N v b H V t b n M x L n s j N C w 0 f S Z x d W 9 0 O y w m c X V v d D t T Z W N 0 a W 9 u M S 9 U Y W J s Z T E v Q X V 0 b 1 J l b W 9 2 Z W R D b 2 x 1 b W 5 z M S 5 7 I z g s N X 0 m c X V v d D s s J n F 1 b 3 Q 7 U 2 V j d G l v b j E v V G F i b G U x L 0 F 1 d G 9 S Z W 1 v d m V k Q 2 9 s d W 1 u c z E u e y M x N i w 2 f S Z x d W 9 0 O y w m c X V v d D t T Z W N 0 a W 9 u M S 9 U Y W J s Z T E v Q X V 0 b 1 J l b W 9 2 Z W R D b 2 x 1 b W 5 z M S 5 7 I z M w L D d 9 J n F 1 b 3 Q 7 L C Z x d W 9 0 O 1 N l Y 3 R p b 2 4 x L 1 R h Y m x l M S 9 B d X R v U m V t b 3 Z l Z E N v b H V t b n M x L n s j N T A s O H 0 m c X V v d D s s J n F 1 b 3 Q 7 U 2 V j d G l v b j E v V G F i b G U x L 0 F 1 d G 9 S Z W 1 v d m V k Q 2 9 s d W 1 u c z E u e y M x M D A s O X 0 m c X V v d D s s J n F 1 b 3 Q 7 U 2 V j d G l v b j E v V G F i b G U x L 0 F 1 d G 9 S Z W 1 v d m V k Q 2 9 s d W 1 u c z E u e y M y M D A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E v Q X V 0 b 1 J l b W 9 2 Z W R D b 2 x 1 b W 5 z M S 5 7 M V w m c X V v d D s s M H 0 m c X V v d D s s J n F 1 b 3 Q 7 U 2 V j d G l v b j E v V G F i b G U x L 0 F 1 d G 9 S Z W 1 v d m V k Q 2 9 s d W 1 u c z E u e z M v N F w m c X V v d D s s M X 0 m c X V v d D s s J n F 1 b 3 Q 7 U 2 V j d G l v b j E v V G F i b G U x L 0 F 1 d G 9 S Z W 1 v d m V k Q 2 9 s d W 1 u c z E u e z E v M l w m c X V v d D s s M n 0 m c X V v d D s s J n F 1 b 3 Q 7 U 2 V j d G l v b j E v V G F i b G U x L 0 F 1 d G 9 S Z W 1 v d m V k Q 2 9 s d W 1 u c z E u e z M v O F w m c X V v d D s s M 3 0 m c X V v d D s s J n F 1 b 3 Q 7 U 2 V j d G l v b j E v V G F i b G U x L 0 F 1 d G 9 S Z W 1 v d m V k Q 2 9 s d W 1 u c z E u e y M 0 L D R 9 J n F 1 b 3 Q 7 L C Z x d W 9 0 O 1 N l Y 3 R p b 2 4 x L 1 R h Y m x l M S 9 B d X R v U m V t b 3 Z l Z E N v b H V t b n M x L n s j O C w 1 f S Z x d W 9 0 O y w m c X V v d D t T Z W N 0 a W 9 u M S 9 U Y W J s Z T E v Q X V 0 b 1 J l b W 9 2 Z W R D b 2 x 1 b W 5 z M S 5 7 I z E 2 L D Z 9 J n F 1 b 3 Q 7 L C Z x d W 9 0 O 1 N l Y 3 R p b 2 4 x L 1 R h Y m x l M S 9 B d X R v U m V t b 3 Z l Z E N v b H V t b n M x L n s j M z A s N 3 0 m c X V v d D s s J n F 1 b 3 Q 7 U 2 V j d G l v b j E v V G F i b G U x L 0 F 1 d G 9 S Z W 1 v d m V k Q 2 9 s d W 1 u c z E u e y M 1 M C w 4 f S Z x d W 9 0 O y w m c X V v d D t T Z W N 0 a W 9 u M S 9 U Y W J s Z T E v Q X V 0 b 1 J l b W 9 2 Z W R D b 2 x 1 b W 5 z M S 5 7 I z E w M C w 5 f S Z x d W 9 0 O y w m c X V v d D t T Z W N 0 a W 9 u M S 9 U Y W J s Z T E v Q X V 0 b 1 J l b W 9 2 Z W R D b 2 x 1 b W 5 z M S 5 7 I z I w M C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x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5 L T E y V D I w O j M 2 O j E 4 L j g 3 N D I x M T h a I i A v P j x F b n R y e S B U e X B l P S J G a W x s Q 2 9 s d W 1 u V H l w Z X M i I F Z h b H V l P S J z Q l F N R C I g L z 4 8 R W 5 0 c n k g V H l w Z T 0 i R m l s b E N v b H V t b k 5 h b W V z I i B W Y W x 1 Z T 0 i c 1 s m c X V v d D t z a W V 2 Z S Z x d W 9 0 O y w m c X V v d D t t Y X g m c X V v d D s s J n F 1 b 3 Q 7 b W l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I C g y K S 9 B d X R v U m V t b 3 Z l Z E N v b H V t b n M x L n t z a W V 2 Z S w w f S Z x d W 9 0 O y w m c X V v d D t T Z W N 0 a W 9 u M S 9 U Y W J s Z T E g K D I p L 0 F 1 d G 9 S Z W 1 v d m V k Q 2 9 s d W 1 u c z E u e 2 1 h e C w x f S Z x d W 9 0 O y w m c X V v d D t T Z W N 0 a W 9 u M S 9 U Y W J s Z T E g K D I p L 0 F 1 d G 9 S Z W 1 v d m V k Q 2 9 s d W 1 u c z E u e 2 1 p b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E g K D I p L 0 F 1 d G 9 S Z W 1 v d m V k Q 2 9 s d W 1 u c z E u e 3 N p Z X Z l L D B 9 J n F 1 b 3 Q 7 L C Z x d W 9 0 O 1 N l Y 3 R p b 2 4 x L 1 R h Y m x l M S A o M i k v Q X V 0 b 1 J l b W 9 2 Z W R D b 2 x 1 b W 5 z M S 5 7 b W F 4 L D F 9 J n F 1 b 3 Q 7 L C Z x d W 9 0 O 1 N l Y 3 R p b 2 4 x L 1 R h Y m x l M S A o M i k v Q X V 0 b 1 J l b W 9 2 Z W R D b 2 x 1 b W 5 z M S 5 7 b W l u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1 J l b W 9 2 Z W Q l M j B C b G F u a y U y M F J v d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l Y s 1 E j I u O 0 i I u 7 p P V m Y z 8 g A A A A A C A A A A A A A D Z g A A w A A A A B A A A A D o 4 o b l D + M O n C y z 0 t J P c h P J A A A A A A S A A A C g A A A A E A A A A H s R 1 Q d 9 o h y a o 0 S N S 4 j d f n t Q A A A A z H R 1 D 1 q w f J p g j + 0 H p t k 9 W B H y j 8 3 r k Q q Z 7 c r x H D X Q / B + c y R G U + r s Q A L U B x b 3 k H 9 O 2 g L 0 I I j H F G K H r 0 T 6 F l B H j b t 5 O I J m M C W H s D p 2 z c 8 P b + A g U A A A A + V V 2 i G O W K g R D c y Y S X 6 S g w j k s Y q g = < / D a t a M a s h u p > 
</file>

<file path=customXml/itemProps1.xml><?xml version="1.0" encoding="utf-8"?>
<ds:datastoreItem xmlns:ds="http://schemas.openxmlformats.org/officeDocument/2006/customXml" ds:itemID="{F7E94B18-1850-4126-A690-19D34061C2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1 MIX DESIGN FORM</vt:lpstr>
      <vt:lpstr>control points</vt:lpstr>
      <vt:lpstr>2 MARSHALL + OPT OIL</vt:lpstr>
      <vt:lpstr>Graphs</vt:lpstr>
      <vt:lpstr>REF - Traffic Category</vt:lpstr>
      <vt:lpstr>P45</vt:lpstr>
      <vt:lpstr>Agg Grad spec</vt:lpstr>
      <vt:lpstr>Data Extract</vt:lpstr>
      <vt:lpstr>Extract</vt:lpstr>
      <vt:lpstr>'1 MIX DESIGN FORM'!Print_Area</vt:lpstr>
      <vt:lpstr>RTC_Agg_Spec</vt:lpstr>
    </vt:vector>
  </TitlesOfParts>
  <Company>Clark County Nevada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Warnke</dc:creator>
  <cp:lastModifiedBy>Nicholas Warnke</cp:lastModifiedBy>
  <cp:lastPrinted>2022-10-20T22:56:57Z</cp:lastPrinted>
  <dcterms:created xsi:type="dcterms:W3CDTF">2022-08-17T22:02:18Z</dcterms:created>
  <dcterms:modified xsi:type="dcterms:W3CDTF">2026-03-03T22:13:12Z</dcterms:modified>
</cp:coreProperties>
</file>